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bopartnersinc.sharepoint.com/sites/GE/Communications/Manager/Rate Calculator/"/>
    </mc:Choice>
  </mc:AlternateContent>
  <xr:revisionPtr revIDLastSave="289" documentId="8_{77680C12-B1E4-4070-87F3-3888C5E2EEE8}" xr6:coauthVersionLast="47" xr6:coauthVersionMax="47" xr10:uidLastSave="{36BA868E-3A69-4C9B-ACE3-60CC9ABAC9D9}"/>
  <bookViews>
    <workbookView xWindow="28680" yWindow="-120" windowWidth="29040" windowHeight="15840" xr2:uid="{5D1F8DFC-E0BD-4B72-A4FA-B35847C1A2DC}"/>
  </bookViews>
  <sheets>
    <sheet name="Rate Calculator" sheetId="4" r:id="rId1"/>
    <sheet name="Calculations" sheetId="3" state="hidden" r:id="rId2"/>
    <sheet name="Lists" sheetId="2" state="hidden" r:id="rId3"/>
  </sheets>
  <definedNames>
    <definedName name="Rates">Lists!$C$13:$C$14</definedName>
    <definedName name="Services">Lists!$C$7:$C$9</definedName>
    <definedName name="Services2">Calculations!$B$4:$B$6</definedName>
    <definedName name="YesNo">Lists!$C$17:$C$18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4" i="3" l="1"/>
  <c r="B23" i="4" l="1"/>
  <c r="A14" i="4"/>
  <c r="B16" i="4" s="1"/>
  <c r="H20" i="4"/>
  <c r="D3" i="2"/>
  <c r="D4" i="2" s="1"/>
  <c r="L25" i="4" s="1"/>
  <c r="K19" i="4" l="1"/>
  <c r="P6" i="3"/>
  <c r="P5" i="3"/>
  <c r="P10" i="3" s="1"/>
  <c r="P4" i="3"/>
  <c r="P7" i="3" l="1"/>
  <c r="F21" i="3"/>
  <c r="C20" i="3"/>
  <c r="H20" i="3" s="1"/>
  <c r="F19" i="3"/>
  <c r="C18" i="3"/>
  <c r="H18" i="3" s="1"/>
  <c r="F17" i="3"/>
  <c r="C16" i="3"/>
  <c r="H16" i="3" s="1"/>
  <c r="F15" i="3"/>
  <c r="C14" i="3"/>
  <c r="H14" i="3" s="1"/>
  <c r="B24" i="4"/>
  <c r="H19" i="4"/>
  <c r="B13" i="4"/>
  <c r="A9" i="4"/>
  <c r="A6" i="4"/>
  <c r="P9" i="3" l="1"/>
  <c r="F26" i="3" l="1"/>
  <c r="C25" i="3"/>
  <c r="H25" i="3" s="1"/>
  <c r="F32" i="3"/>
  <c r="J32" i="3" s="1"/>
  <c r="C31" i="3"/>
  <c r="C27" i="3"/>
  <c r="H27" i="3" s="1"/>
  <c r="F30" i="3"/>
  <c r="J30" i="3" s="1"/>
  <c r="C29" i="3"/>
  <c r="F28" i="3"/>
  <c r="L9" i="3"/>
  <c r="K9" i="3"/>
  <c r="Q4" i="3" l="1"/>
  <c r="H29" i="3"/>
  <c r="L29" i="3" s="1"/>
  <c r="K29" i="3"/>
  <c r="K31" i="3"/>
  <c r="H31" i="3"/>
  <c r="L31" i="3" s="1"/>
  <c r="P8" i="3"/>
  <c r="Q5" i="3"/>
  <c r="Q31" i="3"/>
  <c r="P31" i="3"/>
  <c r="Q3" i="3" l="1"/>
  <c r="E7" i="3"/>
  <c r="E6" i="3"/>
  <c r="E5" i="3"/>
  <c r="F5" i="3" s="1"/>
  <c r="E4" i="3"/>
  <c r="F4" i="3" s="1"/>
  <c r="K18" i="3"/>
  <c r="J19" i="3"/>
  <c r="K20" i="3"/>
  <c r="J21" i="3"/>
  <c r="P15" i="3" l="1"/>
  <c r="E28" i="3"/>
  <c r="E27" i="3"/>
  <c r="F27" i="3" s="1"/>
  <c r="G27" i="3" s="1"/>
  <c r="E26" i="3"/>
  <c r="E25" i="3"/>
  <c r="F25" i="3" s="1"/>
  <c r="E15" i="3"/>
  <c r="C15" i="3" s="1"/>
  <c r="H15" i="3" s="1"/>
  <c r="E14" i="3"/>
  <c r="F14" i="3" s="1"/>
  <c r="E16" i="3"/>
  <c r="F16" i="3" s="1"/>
  <c r="E17" i="3"/>
  <c r="C17" i="3" s="1"/>
  <c r="H17" i="3" s="1"/>
  <c r="C7" i="3"/>
  <c r="F7" i="3" l="1"/>
  <c r="E21" i="3" s="1"/>
  <c r="C21" i="3" s="1"/>
  <c r="H21" i="3" s="1"/>
  <c r="F31" i="3"/>
  <c r="I27" i="3"/>
  <c r="C28" i="3"/>
  <c r="G25" i="3"/>
  <c r="I25" i="3"/>
  <c r="C26" i="3"/>
  <c r="Q30" i="3"/>
  <c r="Q32" i="3" s="1"/>
  <c r="P30" i="3"/>
  <c r="I16" i="3"/>
  <c r="E20" i="3" l="1"/>
  <c r="J31" i="3"/>
  <c r="I31" i="3"/>
  <c r="E31" i="3"/>
  <c r="E32" i="3"/>
  <c r="C32" i="3" s="1"/>
  <c r="P16" i="3" s="1"/>
  <c r="I28" i="3"/>
  <c r="G28" i="3"/>
  <c r="H28" i="3"/>
  <c r="G26" i="3"/>
  <c r="H26" i="3"/>
  <c r="I26" i="3"/>
  <c r="Q33" i="3"/>
  <c r="Q34" i="3" s="1"/>
  <c r="I17" i="3"/>
  <c r="P32" i="3"/>
  <c r="I15" i="3"/>
  <c r="L18" i="3"/>
  <c r="L20" i="3"/>
  <c r="I21" i="3"/>
  <c r="K21" i="3"/>
  <c r="I14" i="3"/>
  <c r="F20" i="3" l="1"/>
  <c r="J20" i="3" s="1"/>
  <c r="O15" i="3"/>
  <c r="K32" i="3"/>
  <c r="P19" i="3" s="1"/>
  <c r="I32" i="3"/>
  <c r="H32" i="3"/>
  <c r="L21" i="3"/>
  <c r="P33" i="3"/>
  <c r="P14" i="3" l="1"/>
  <c r="I20" i="3"/>
  <c r="P18" i="3" s="1"/>
  <c r="Q15" i="3"/>
  <c r="H8" i="4" s="1"/>
  <c r="L32" i="3"/>
  <c r="P20" i="3" s="1"/>
  <c r="P17" i="3"/>
  <c r="P34" i="3"/>
  <c r="Q25" i="3"/>
  <c r="C6" i="3" l="1"/>
  <c r="F29" i="3" s="1"/>
  <c r="I29" i="3" l="1"/>
  <c r="J29" i="3"/>
  <c r="P26" i="3"/>
  <c r="Q26" i="3" s="1"/>
  <c r="F6" i="3"/>
  <c r="P24" i="3" l="1"/>
  <c r="E29" i="3"/>
  <c r="E30" i="3"/>
  <c r="C30" i="3" s="1"/>
  <c r="E19" i="3"/>
  <c r="C19" i="3" s="1"/>
  <c r="H19" i="3" s="1"/>
  <c r="E18" i="3"/>
  <c r="O16" i="3" l="1"/>
  <c r="Q16" i="3" s="1"/>
  <c r="H10" i="4" s="1"/>
  <c r="O14" i="3"/>
  <c r="F18" i="3"/>
  <c r="I18" i="3" s="1"/>
  <c r="I30" i="3"/>
  <c r="H30" i="3"/>
  <c r="K30" i="3"/>
  <c r="I19" i="3"/>
  <c r="K19" i="3"/>
  <c r="Q14" i="3" l="1"/>
  <c r="H7" i="4" s="1"/>
  <c r="K22" i="4" s="1"/>
  <c r="O19" i="3"/>
  <c r="Q19" i="3" s="1"/>
  <c r="H16" i="4" s="1"/>
  <c r="J18" i="3"/>
  <c r="O18" i="3"/>
  <c r="Q18" i="3" s="1"/>
  <c r="L30" i="3"/>
  <c r="O17" i="3"/>
  <c r="L19" i="3"/>
  <c r="H13" i="4" l="1"/>
  <c r="O20" i="3"/>
  <c r="Q20" i="3" s="1"/>
  <c r="H17" i="4" s="1"/>
  <c r="K20" i="4"/>
  <c r="Q17" i="3"/>
  <c r="H11" i="4" s="1"/>
  <c r="H14" i="4" l="1"/>
</calcChain>
</file>

<file path=xl/sharedStrings.xml><?xml version="1.0" encoding="utf-8"?>
<sst xmlns="http://schemas.openxmlformats.org/spreadsheetml/2006/main" count="140" uniqueCount="88">
  <si>
    <t>Bill Rate</t>
  </si>
  <si>
    <t>Service:</t>
  </si>
  <si>
    <t>Hourly pay rate:</t>
  </si>
  <si>
    <t>Overtime bill rate:</t>
  </si>
  <si>
    <t>Bill Rate: Full hourly spend budget.</t>
  </si>
  <si>
    <t>Business Services</t>
  </si>
  <si>
    <t>N/A</t>
  </si>
  <si>
    <t>No</t>
  </si>
  <si>
    <t>Vendor Services</t>
  </si>
  <si>
    <t>Payroll Services</t>
  </si>
  <si>
    <t>Pay Rate</t>
  </si>
  <si>
    <t>MBO Fee MU</t>
  </si>
  <si>
    <t>Selected Service:</t>
  </si>
  <si>
    <t>Rate Type Selected:</t>
  </si>
  <si>
    <t>Hourly Rate:</t>
  </si>
  <si>
    <t>Yes</t>
  </si>
  <si>
    <t>Fee</t>
  </si>
  <si>
    <t>OT Pay Rate</t>
  </si>
  <si>
    <t>OT Bill Rate</t>
  </si>
  <si>
    <t>For this example:</t>
  </si>
  <si>
    <t>Hourly Pay Rate:</t>
  </si>
  <si>
    <t>Hourly Bill Rate:</t>
  </si>
  <si>
    <t>Work Order Bill Rate:</t>
  </si>
  <si>
    <t>General</t>
  </si>
  <si>
    <t>Sick Leave</t>
  </si>
  <si>
    <t>Overtime Bill Rate:</t>
  </si>
  <si>
    <t>Work Order OT Bill Rate:</t>
  </si>
  <si>
    <t>MBO Fee %</t>
  </si>
  <si>
    <t>WO Bill rate</t>
  </si>
  <si>
    <t>WO OT Bill Rate</t>
  </si>
  <si>
    <t xml:space="preserve">      Yes</t>
  </si>
  <si>
    <t xml:space="preserve">      No</t>
  </si>
  <si>
    <t>Advisory MU</t>
  </si>
  <si>
    <t>Total MBO MU</t>
  </si>
  <si>
    <t>As Mark-Up</t>
  </si>
  <si>
    <t>Conv. To Margin</t>
  </si>
  <si>
    <t>Rate Type:</t>
  </si>
  <si>
    <r>
      <t xml:space="preserve">Pay Rate: Worker's earnings </t>
    </r>
    <r>
      <rPr>
        <u/>
        <sz val="8"/>
        <color rgb="FF4E4F50"/>
        <rFont val="Segoe UI Semilight"/>
        <family val="2"/>
      </rPr>
      <t>after</t>
    </r>
    <r>
      <rPr>
        <sz val="8"/>
        <color rgb="FF4E4F50"/>
        <rFont val="Segoe UI Semilight"/>
        <family val="2"/>
      </rPr>
      <t xml:space="preserve"> fee withheld.</t>
    </r>
  </si>
  <si>
    <t>WO BR with APF</t>
  </si>
  <si>
    <t>Margin / Mark-up Conversion:</t>
  </si>
  <si>
    <t>Broker Fee (Advisor w/ APF):</t>
  </si>
  <si>
    <t>Client fee amount:</t>
  </si>
  <si>
    <t xml:space="preserve">Vendor Services </t>
  </si>
  <si>
    <t>SITUATION SUMMARY TABLE</t>
  </si>
  <si>
    <t>FRONT PAGE DISPLAY TABLE</t>
  </si>
  <si>
    <t>BROKER FEE MARGIN CALCULATION TABLE</t>
  </si>
  <si>
    <t>ACCELERATED PAY RATE BUILDUP WORKSHEET</t>
  </si>
  <si>
    <t>Pay rate marked up by MBO fee</t>
  </si>
  <si>
    <t>Pay rate uplifted by APF</t>
  </si>
  <si>
    <t>Fees from above added to pay rate</t>
  </si>
  <si>
    <t>MBO fee / result above</t>
  </si>
  <si>
    <t>Validation</t>
  </si>
  <si>
    <r>
      <t xml:space="preserve">Pgm Fee </t>
    </r>
    <r>
      <rPr>
        <b/>
        <sz val="10"/>
        <color rgb="FFFF0000"/>
        <rFont val="Calibri"/>
        <family val="2"/>
        <scheme val="minor"/>
      </rPr>
      <t>Margin</t>
    </r>
  </si>
  <si>
    <t>Program Fee %:</t>
  </si>
  <si>
    <t>Advisory Fee</t>
  </si>
  <si>
    <t>Situation ID:</t>
  </si>
  <si>
    <t>PAYROLL TIERED FEE TABLE</t>
  </si>
  <si>
    <t>Low (based on PR)</t>
  </si>
  <si>
    <t>High (based on PR)</t>
  </si>
  <si>
    <t>Standard Fee</t>
  </si>
  <si>
    <t>Sick Leave Fee</t>
  </si>
  <si>
    <t>Fee for this situation:</t>
  </si>
  <si>
    <t>NOTE: Calc does not yet accommodate for if BR is selected.</t>
  </si>
  <si>
    <r>
      <t xml:space="preserve">FEE TABLE </t>
    </r>
    <r>
      <rPr>
        <sz val="10"/>
        <color theme="0"/>
        <rFont val="Calibri"/>
        <family val="2"/>
        <scheme val="minor"/>
      </rPr>
      <t>(Use empty column on right for client customizations)</t>
    </r>
  </si>
  <si>
    <t>RESULTS</t>
  </si>
  <si>
    <t>Fee Amount:</t>
  </si>
  <si>
    <t>RATE CALCULATION GRID: CLIENT COVERS PROGRAM FEE</t>
  </si>
  <si>
    <t>RATE CALCULATION GRID: WORKER COVERS PROGRAM FEE</t>
  </si>
  <si>
    <t>PR after Pgm Fee</t>
  </si>
  <si>
    <t>Hourly Pay Rate after VMS Fee:</t>
  </si>
  <si>
    <t>Worker pays pgm fee?</t>
  </si>
  <si>
    <t>PS - Sick Leave</t>
  </si>
  <si>
    <t>Accel. Pay Fee</t>
  </si>
  <si>
    <t>Current Case</t>
  </si>
  <si>
    <r>
      <t xml:space="preserve">Select / enter information in the </t>
    </r>
    <r>
      <rPr>
        <b/>
        <sz val="9"/>
        <color rgb="FF78BE20"/>
        <rFont val="Segoe UI"/>
        <family val="2"/>
      </rPr>
      <t>green-shaded</t>
    </r>
    <r>
      <rPr>
        <sz val="9"/>
        <color theme="1"/>
        <rFont val="Segoe UI Semilight"/>
        <family val="2"/>
      </rPr>
      <t xml:space="preserve"> cells at left.</t>
    </r>
  </si>
  <si>
    <t>Sick Leave Area Selected:</t>
  </si>
  <si>
    <t xml:space="preserve">       MBO fee amount:</t>
  </si>
  <si>
    <t xml:space="preserve">       Work order OT rate:</t>
  </si>
  <si>
    <t xml:space="preserve">       Pay rate after MSP fee:</t>
  </si>
  <si>
    <t xml:space="preserve">       MBO work order bill rate:</t>
  </si>
  <si>
    <t>PMO-sourced?</t>
  </si>
  <si>
    <t>PMO selected?</t>
  </si>
  <si>
    <t>PMO fee %:</t>
  </si>
  <si>
    <t>Broker Fee (PMO Only):</t>
  </si>
  <si>
    <t>Today:</t>
  </si>
  <si>
    <t>This Year:</t>
  </si>
  <si>
    <t>MBO Partners Rate Calculator for GE</t>
  </si>
  <si>
    <t>Hourly bill rate to 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</si>
</sst>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&quot;$&quot;#,##0.00"/>
    <numFmt numFmtId="165" formatCode="0.00000%"/>
    <numFmt numFmtId="166" formatCode="0.0000%"/>
    <numFmt numFmtId="167" formatCode="0.0000000"/>
    <numFmt numFmtId="168" formatCode="0.000%"/>
    <numFmt numFmtId="169" formatCode="0.000000%"/>
    <numFmt numFmtId="170" formatCode="&quot;$&quot;#,##0.00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Segoe UI Semilight"/>
      <family val="2"/>
    </font>
    <font>
      <sz val="9"/>
      <color theme="1"/>
      <name val="Segoe UI Semilight"/>
      <family val="2"/>
    </font>
    <font>
      <sz val="8"/>
      <color theme="1"/>
      <name val="Segoe UI Semilight"/>
      <family val="2"/>
    </font>
    <font>
      <sz val="11"/>
      <color theme="0"/>
      <name val="Segoe UI Semilight"/>
      <family val="2"/>
    </font>
    <font>
      <sz val="11"/>
      <color rgb="FF4E4F50"/>
      <name val="Segoe UI Semilight"/>
      <family val="2"/>
    </font>
    <font>
      <sz val="11"/>
      <color rgb="FF005EB8"/>
      <name val="Segoe UI Semilight"/>
      <family val="2"/>
    </font>
    <font>
      <sz val="7"/>
      <color theme="1"/>
      <name val="Segoe UI Semilight"/>
      <family val="2"/>
    </font>
    <font>
      <sz val="9"/>
      <color rgb="FF4E4F50"/>
      <name val="Segoe UI Semilight"/>
      <family val="2"/>
    </font>
    <font>
      <sz val="8"/>
      <color rgb="FF4E4F50"/>
      <name val="Segoe UI Semilight"/>
      <family val="2"/>
    </font>
    <font>
      <u/>
      <sz val="8"/>
      <color rgb="FF4E4F50"/>
      <name val="Segoe UI Semilight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/>
      <name val="Segoe UI Semilight"/>
      <family val="2"/>
    </font>
    <font>
      <sz val="22"/>
      <color rgb="FF005587"/>
      <name val="Segoe UI Semilight"/>
      <family val="2"/>
    </font>
    <font>
      <sz val="7"/>
      <color rgb="FF4E4F50"/>
      <name val="Segoe UI Semilight"/>
      <family val="2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EFEFE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5587"/>
      <name val="Calibri"/>
      <family val="2"/>
      <scheme val="minor"/>
    </font>
    <font>
      <b/>
      <sz val="9"/>
      <color rgb="FF78BE20"/>
      <name val="Segoe UI"/>
      <family val="2"/>
    </font>
    <font>
      <sz val="16"/>
      <color rgb="FF005587"/>
      <name val="Segoe UI Semilight"/>
      <family val="2"/>
    </font>
    <font>
      <b/>
      <sz val="12"/>
      <color rgb="FF53565A"/>
      <name val="Calibri"/>
      <family val="2"/>
      <scheme val="minor"/>
    </font>
    <font>
      <b/>
      <sz val="10"/>
      <color theme="2" tint="-0.249977111117893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Segoe UI Semibold"/>
      <family val="2"/>
    </font>
    <font>
      <sz val="10"/>
      <color theme="2" tint="-0.249977111117893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009CA6"/>
        <bgColor indexed="64"/>
      </patternFill>
    </fill>
    <fill>
      <patternFill patternType="solid">
        <fgColor rgb="FF42A076"/>
        <bgColor indexed="64"/>
      </patternFill>
    </fill>
    <fill>
      <patternFill patternType="solid">
        <fgColor rgb="FF78BE20"/>
        <bgColor indexed="64"/>
      </patternFill>
    </fill>
    <fill>
      <patternFill patternType="solid">
        <fgColor rgb="FF005587"/>
        <bgColor indexed="64"/>
      </patternFill>
    </fill>
    <fill>
      <patternFill patternType="solid">
        <fgColor rgb="FFC1E7FF"/>
        <bgColor indexed="64"/>
      </patternFill>
    </fill>
    <fill>
      <patternFill patternType="solid">
        <fgColor rgb="FFE8F8D4"/>
        <bgColor indexed="64"/>
      </patternFill>
    </fill>
    <fill>
      <patternFill patternType="solid">
        <fgColor rgb="FF53565A"/>
        <bgColor indexed="64"/>
      </patternFill>
    </fill>
    <fill>
      <patternFill patternType="solid">
        <fgColor rgb="FFD7DE1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F7D1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rgb="FF78BE20"/>
      </left>
      <right/>
      <top style="medium">
        <color rgb="FF78BE20"/>
      </top>
      <bottom style="medium">
        <color rgb="FF78BE20"/>
      </bottom>
      <diagonal/>
    </border>
    <border>
      <left/>
      <right style="medium">
        <color rgb="FF78BE20"/>
      </right>
      <top style="medium">
        <color rgb="FF78BE20"/>
      </top>
      <bottom style="medium">
        <color rgb="FF78BE20"/>
      </bottom>
      <diagonal/>
    </border>
    <border>
      <left/>
      <right/>
      <top style="medium">
        <color rgb="FF78BE20"/>
      </top>
      <bottom style="medium">
        <color rgb="FF78BE2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8BE20"/>
      </left>
      <right style="medium">
        <color rgb="FF78BE20"/>
      </right>
      <top style="medium">
        <color rgb="FF78BE20"/>
      </top>
      <bottom style="medium">
        <color rgb="FF78BE2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5587"/>
      </bottom>
      <diagonal/>
    </border>
    <border>
      <left style="thin">
        <color rgb="FF005587"/>
      </left>
      <right/>
      <top style="thin">
        <color rgb="FF005587"/>
      </top>
      <bottom style="thin">
        <color rgb="FF005587"/>
      </bottom>
      <diagonal/>
    </border>
    <border>
      <left/>
      <right/>
      <top style="thin">
        <color rgb="FF005587"/>
      </top>
      <bottom style="thin">
        <color rgb="FF005587"/>
      </bottom>
      <diagonal/>
    </border>
    <border>
      <left/>
      <right style="thin">
        <color rgb="FF005587"/>
      </right>
      <top style="thin">
        <color rgb="FF005587"/>
      </top>
      <bottom style="thin">
        <color rgb="FF00558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 applyProtection="1"/>
    <xf numFmtId="0" fontId="5" fillId="0" borderId="0" xfId="0" applyFont="1" applyProtection="1"/>
    <xf numFmtId="0" fontId="4" fillId="2" borderId="0" xfId="0" applyFont="1" applyFill="1" applyProtection="1"/>
    <xf numFmtId="0" fontId="1" fillId="2" borderId="0" xfId="0" applyFont="1" applyFill="1" applyProtection="1"/>
    <xf numFmtId="0" fontId="8" fillId="0" borderId="0" xfId="0" applyFont="1" applyAlignment="1" applyProtection="1">
      <alignment horizontal="left" vertical="top"/>
    </xf>
    <xf numFmtId="0" fontId="6" fillId="2" borderId="0" xfId="0" applyFont="1" applyFill="1" applyProtection="1"/>
    <xf numFmtId="0" fontId="14" fillId="0" borderId="0" xfId="0" applyFont="1" applyAlignment="1" applyProtection="1">
      <alignment horizontal="center"/>
    </xf>
    <xf numFmtId="0" fontId="8" fillId="0" borderId="0" xfId="0" applyFont="1" applyProtection="1"/>
    <xf numFmtId="0" fontId="3" fillId="2" borderId="0" xfId="0" applyFont="1" applyFill="1" applyAlignment="1" applyProtection="1">
      <alignment vertical="top"/>
    </xf>
    <xf numFmtId="0" fontId="9" fillId="0" borderId="0" xfId="0" applyFont="1" applyAlignment="1" applyProtection="1">
      <alignment vertical="top"/>
    </xf>
    <xf numFmtId="0" fontId="14" fillId="0" borderId="0" xfId="0" applyFont="1" applyProtection="1"/>
    <xf numFmtId="0" fontId="1" fillId="4" borderId="0" xfId="0" applyFont="1" applyFill="1" applyProtection="1"/>
    <xf numFmtId="0" fontId="2" fillId="4" borderId="0" xfId="0" applyFont="1" applyFill="1" applyProtection="1"/>
    <xf numFmtId="0" fontId="9" fillId="0" borderId="0" xfId="0" applyFont="1" applyAlignment="1" applyProtection="1">
      <alignment wrapText="1"/>
    </xf>
    <xf numFmtId="0" fontId="1" fillId="3" borderId="0" xfId="0" applyFont="1" applyFill="1" applyProtection="1"/>
    <xf numFmtId="0" fontId="7" fillId="0" borderId="0" xfId="0" applyFont="1" applyProtection="1"/>
    <xf numFmtId="0" fontId="16" fillId="0" borderId="0" xfId="0" applyFont="1" applyAlignment="1" applyProtection="1">
      <alignment horizontal="right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</xf>
    <xf numFmtId="0" fontId="2" fillId="0" borderId="0" xfId="0" applyFont="1" applyAlignment="1" applyProtection="1">
      <alignment horizontal="center" vertical="top"/>
    </xf>
    <xf numFmtId="0" fontId="8" fillId="18" borderId="1" xfId="0" applyFont="1" applyFill="1" applyBorder="1" applyAlignment="1" applyProtection="1">
      <alignment vertical="center"/>
      <protection locked="0"/>
    </xf>
    <xf numFmtId="0" fontId="8" fillId="18" borderId="3" xfId="0" applyFont="1" applyFill="1" applyBorder="1" applyAlignment="1" applyProtection="1">
      <alignment vertical="center"/>
      <protection locked="0"/>
    </xf>
    <xf numFmtId="0" fontId="1" fillId="18" borderId="2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34" fillId="2" borderId="0" xfId="0" applyFont="1" applyFill="1" applyProtection="1"/>
    <xf numFmtId="0" fontId="12" fillId="5" borderId="0" xfId="0" applyFont="1" applyFill="1" applyAlignment="1" applyProtection="1">
      <alignment vertical="center"/>
    </xf>
    <xf numFmtId="0" fontId="12" fillId="5" borderId="0" xfId="0" applyFont="1" applyFill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2" fillId="3" borderId="5" xfId="0" applyFont="1" applyFill="1" applyBorder="1" applyAlignment="1" applyProtection="1">
      <alignment vertical="center"/>
    </xf>
    <xf numFmtId="0" fontId="13" fillId="3" borderId="9" xfId="0" applyFont="1" applyFill="1" applyBorder="1" applyAlignment="1" applyProtection="1">
      <alignment horizontal="center" vertical="center"/>
    </xf>
    <xf numFmtId="0" fontId="13" fillId="3" borderId="6" xfId="0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vertical="center"/>
    </xf>
    <xf numFmtId="0" fontId="22" fillId="3" borderId="14" xfId="0" applyFont="1" applyFill="1" applyBorder="1" applyAlignment="1" applyProtection="1">
      <alignment horizontal="center" vertical="center"/>
    </xf>
    <xf numFmtId="0" fontId="22" fillId="3" borderId="6" xfId="0" applyFont="1" applyFill="1" applyBorder="1" applyAlignment="1" applyProtection="1">
      <alignment horizontal="center" vertical="center"/>
    </xf>
    <xf numFmtId="0" fontId="22" fillId="3" borderId="7" xfId="0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vertical="center"/>
    </xf>
    <xf numFmtId="0" fontId="12" fillId="3" borderId="14" xfId="0" applyFont="1" applyFill="1" applyBorder="1" applyAlignment="1" applyProtection="1">
      <alignment vertical="center"/>
    </xf>
    <xf numFmtId="0" fontId="26" fillId="10" borderId="5" xfId="0" applyFont="1" applyFill="1" applyBorder="1" applyAlignment="1" applyProtection="1">
      <alignment horizontal="center" vertical="center"/>
    </xf>
    <xf numFmtId="0" fontId="26" fillId="10" borderId="7" xfId="0" applyFont="1" applyFill="1" applyBorder="1" applyAlignment="1" applyProtection="1">
      <alignment horizontal="center" vertical="center"/>
    </xf>
    <xf numFmtId="168" fontId="12" fillId="11" borderId="8" xfId="1" applyNumberFormat="1" applyFont="1" applyFill="1" applyBorder="1" applyAlignment="1" applyProtection="1">
      <alignment horizontal="center" vertical="center"/>
      <protection locked="0"/>
    </xf>
    <xf numFmtId="168" fontId="12" fillId="3" borderId="0" xfId="1" applyNumberFormat="1" applyFont="1" applyFill="1" applyBorder="1" applyAlignment="1" applyProtection="1">
      <alignment horizontal="center" vertical="center"/>
    </xf>
    <xf numFmtId="164" fontId="12" fillId="11" borderId="8" xfId="0" applyNumberFormat="1" applyFont="1" applyFill="1" applyBorder="1" applyAlignment="1" applyProtection="1">
      <alignment horizontal="center" vertical="center"/>
      <protection locked="0"/>
    </xf>
    <xf numFmtId="0" fontId="23" fillId="5" borderId="0" xfId="0" applyFont="1" applyFill="1" applyAlignment="1" applyProtection="1">
      <alignment vertical="center"/>
    </xf>
    <xf numFmtId="0" fontId="12" fillId="3" borderId="1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center" vertical="center"/>
    </xf>
    <xf numFmtId="0" fontId="26" fillId="3" borderId="11" xfId="0" applyFont="1" applyFill="1" applyBorder="1" applyAlignment="1" applyProtection="1">
      <alignment horizontal="center" vertical="center"/>
    </xf>
    <xf numFmtId="0" fontId="13" fillId="3" borderId="10" xfId="0" applyFont="1" applyFill="1" applyBorder="1" applyAlignment="1" applyProtection="1">
      <alignment horizontal="center" vertical="center"/>
    </xf>
    <xf numFmtId="164" fontId="12" fillId="3" borderId="0" xfId="2" applyNumberFormat="1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168" fontId="33" fillId="3" borderId="0" xfId="0" applyNumberFormat="1" applyFont="1" applyFill="1" applyBorder="1" applyAlignment="1" applyProtection="1">
      <alignment horizontal="center" vertical="center"/>
    </xf>
    <xf numFmtId="168" fontId="12" fillId="3" borderId="0" xfId="0" applyNumberFormat="1" applyFont="1" applyFill="1" applyBorder="1" applyAlignment="1" applyProtection="1">
      <alignment vertical="center"/>
    </xf>
    <xf numFmtId="10" fontId="12" fillId="3" borderId="0" xfId="1" applyNumberFormat="1" applyFont="1" applyFill="1" applyBorder="1" applyAlignment="1" applyProtection="1">
      <alignment horizontal="center" vertical="center"/>
    </xf>
    <xf numFmtId="168" fontId="31" fillId="15" borderId="0" xfId="1" quotePrefix="1" applyNumberFormat="1" applyFont="1" applyFill="1" applyBorder="1" applyAlignment="1" applyProtection="1">
      <alignment horizontal="center" vertical="center"/>
    </xf>
    <xf numFmtId="168" fontId="21" fillId="3" borderId="0" xfId="0" applyNumberFormat="1" applyFont="1" applyFill="1" applyBorder="1" applyAlignment="1" applyProtection="1">
      <alignment vertical="center" wrapText="1"/>
    </xf>
    <xf numFmtId="168" fontId="13" fillId="3" borderId="0" xfId="1" applyNumberFormat="1" applyFont="1" applyFill="1" applyBorder="1" applyAlignment="1" applyProtection="1">
      <alignment horizontal="center" vertical="center"/>
    </xf>
    <xf numFmtId="168" fontId="13" fillId="3" borderId="11" xfId="1" applyNumberFormat="1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vertical="center"/>
    </xf>
    <xf numFmtId="168" fontId="18" fillId="3" borderId="4" xfId="0" applyNumberFormat="1" applyFont="1" applyFill="1" applyBorder="1" applyAlignment="1" applyProtection="1">
      <alignment vertical="center"/>
    </xf>
    <xf numFmtId="168" fontId="12" fillId="3" borderId="4" xfId="0" applyNumberFormat="1" applyFont="1" applyFill="1" applyBorder="1" applyAlignment="1" applyProtection="1">
      <alignment vertical="center"/>
    </xf>
    <xf numFmtId="0" fontId="12" fillId="3" borderId="4" xfId="0" applyFont="1" applyFill="1" applyBorder="1" applyAlignment="1" applyProtection="1">
      <alignment vertical="center"/>
    </xf>
    <xf numFmtId="10" fontId="12" fillId="3" borderId="4" xfId="0" applyNumberFormat="1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10" fontId="12" fillId="5" borderId="0" xfId="0" applyNumberFormat="1" applyFont="1" applyFill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0" fontId="30" fillId="3" borderId="6" xfId="0" applyFont="1" applyFill="1" applyBorder="1" applyAlignment="1" applyProtection="1">
      <alignment horizontal="center" vertical="center"/>
    </xf>
    <xf numFmtId="0" fontId="13" fillId="3" borderId="7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</xf>
    <xf numFmtId="0" fontId="20" fillId="6" borderId="20" xfId="0" applyFont="1" applyFill="1" applyBorder="1" applyAlignment="1" applyProtection="1">
      <alignment horizontal="center" vertical="center"/>
    </xf>
    <xf numFmtId="0" fontId="19" fillId="3" borderId="10" xfId="0" applyFont="1" applyFill="1" applyBorder="1" applyAlignment="1" applyProtection="1">
      <alignment horizontal="right" vertical="center"/>
    </xf>
    <xf numFmtId="164" fontId="12" fillId="3" borderId="0" xfId="0" applyNumberFormat="1" applyFont="1" applyFill="1" applyBorder="1" applyAlignment="1" applyProtection="1">
      <alignment horizontal="center" vertical="center"/>
    </xf>
    <xf numFmtId="164" fontId="12" fillId="17" borderId="0" xfId="2" applyNumberFormat="1" applyFont="1" applyFill="1" applyBorder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left" vertical="center"/>
    </xf>
    <xf numFmtId="164" fontId="25" fillId="6" borderId="21" xfId="0" applyNumberFormat="1" applyFont="1" applyFill="1" applyBorder="1" applyAlignment="1" applyProtection="1">
      <alignment horizontal="center" vertical="center"/>
    </xf>
    <xf numFmtId="164" fontId="12" fillId="17" borderId="0" xfId="1" applyNumberFormat="1" applyFont="1" applyFill="1" applyBorder="1" applyAlignment="1" applyProtection="1">
      <alignment horizontal="center" vertical="center"/>
    </xf>
    <xf numFmtId="164" fontId="12" fillId="3" borderId="11" xfId="0" applyNumberFormat="1" applyFont="1" applyFill="1" applyBorder="1" applyAlignment="1" applyProtection="1">
      <alignment horizontal="center" vertical="center"/>
    </xf>
    <xf numFmtId="164" fontId="12" fillId="3" borderId="10" xfId="0" applyNumberFormat="1" applyFont="1" applyFill="1" applyBorder="1" applyAlignment="1" applyProtection="1">
      <alignment horizontal="left" vertical="center"/>
    </xf>
    <xf numFmtId="164" fontId="12" fillId="3" borderId="12" xfId="0" applyNumberFormat="1" applyFont="1" applyFill="1" applyBorder="1" applyAlignment="1" applyProtection="1">
      <alignment horizontal="left" vertical="center"/>
    </xf>
    <xf numFmtId="164" fontId="12" fillId="3" borderId="4" xfId="0" applyNumberFormat="1" applyFont="1" applyFill="1" applyBorder="1" applyAlignment="1" applyProtection="1">
      <alignment horizontal="center" vertical="center"/>
    </xf>
    <xf numFmtId="164" fontId="25" fillId="6" borderId="22" xfId="0" applyNumberFormat="1" applyFont="1" applyFill="1" applyBorder="1" applyAlignment="1" applyProtection="1">
      <alignment horizontal="center" vertical="center"/>
    </xf>
    <xf numFmtId="0" fontId="19" fillId="3" borderId="12" xfId="0" applyFont="1" applyFill="1" applyBorder="1" applyAlignment="1" applyProtection="1">
      <alignment horizontal="right" vertical="center"/>
    </xf>
    <xf numFmtId="164" fontId="12" fillId="17" borderId="4" xfId="1" applyNumberFormat="1" applyFont="1" applyFill="1" applyBorder="1" applyAlignment="1" applyProtection="1">
      <alignment horizontal="center" vertical="center"/>
    </xf>
    <xf numFmtId="164" fontId="12" fillId="3" borderId="13" xfId="0" applyNumberFormat="1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left" vertical="center"/>
    </xf>
    <xf numFmtId="165" fontId="12" fillId="3" borderId="0" xfId="0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164" fontId="12" fillId="17" borderId="0" xfId="2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35" fillId="3" borderId="10" xfId="0" applyFont="1" applyFill="1" applyBorder="1" applyAlignment="1" applyProtection="1">
      <alignment horizontal="left" vertical="center"/>
    </xf>
    <xf numFmtId="0" fontId="35" fillId="3" borderId="0" xfId="0" applyFont="1" applyFill="1" applyBorder="1" applyAlignment="1" applyProtection="1">
      <alignment horizontal="left" vertical="center"/>
    </xf>
    <xf numFmtId="0" fontId="35" fillId="3" borderId="0" xfId="0" applyFont="1" applyFill="1" applyBorder="1" applyAlignment="1" applyProtection="1">
      <alignment horizontal="center" vertical="center"/>
    </xf>
    <xf numFmtId="165" fontId="35" fillId="3" borderId="11" xfId="1" applyNumberFormat="1" applyFont="1" applyFill="1" applyBorder="1" applyAlignment="1" applyProtection="1">
      <alignment horizontal="center" vertical="center"/>
    </xf>
    <xf numFmtId="164" fontId="12" fillId="17" borderId="0" xfId="1" applyNumberFormat="1" applyFont="1" applyFill="1" applyAlignment="1">
      <alignment horizontal="center" vertical="center"/>
    </xf>
    <xf numFmtId="0" fontId="12" fillId="3" borderId="12" xfId="0" applyFont="1" applyFill="1" applyBorder="1" applyAlignment="1" applyProtection="1">
      <alignment horizontal="left" vertical="center"/>
    </xf>
    <xf numFmtId="0" fontId="12" fillId="3" borderId="4" xfId="0" applyFont="1" applyFill="1" applyBorder="1" applyAlignment="1" applyProtection="1">
      <alignment horizontal="left" vertical="center"/>
    </xf>
    <xf numFmtId="165" fontId="12" fillId="3" borderId="4" xfId="0" applyNumberFormat="1" applyFont="1" applyFill="1" applyBorder="1" applyAlignment="1" applyProtection="1">
      <alignment horizontal="center" vertical="center"/>
    </xf>
    <xf numFmtId="165" fontId="12" fillId="3" borderId="13" xfId="1" applyNumberFormat="1" applyFont="1" applyFill="1" applyBorder="1" applyAlignment="1" applyProtection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0" fontId="31" fillId="15" borderId="9" xfId="0" applyFont="1" applyFill="1" applyBorder="1" applyAlignment="1" applyProtection="1">
      <alignment vertical="center"/>
    </xf>
    <xf numFmtId="0" fontId="31" fillId="15" borderId="14" xfId="0" applyFont="1" applyFill="1" applyBorder="1" applyAlignment="1" applyProtection="1">
      <alignment vertical="center"/>
    </xf>
    <xf numFmtId="0" fontId="32" fillId="15" borderId="6" xfId="0" applyFont="1" applyFill="1" applyBorder="1" applyAlignment="1" applyProtection="1">
      <alignment horizontal="center" vertical="center"/>
    </xf>
    <xf numFmtId="0" fontId="32" fillId="15" borderId="7" xfId="0" applyFont="1" applyFill="1" applyBorder="1" applyAlignment="1" applyProtection="1">
      <alignment horizontal="center" vertical="center"/>
    </xf>
    <xf numFmtId="0" fontId="31" fillId="15" borderId="10" xfId="0" applyFont="1" applyFill="1" applyBorder="1" applyAlignment="1" applyProtection="1">
      <alignment horizontal="left" vertical="center"/>
    </xf>
    <xf numFmtId="0" fontId="31" fillId="15" borderId="0" xfId="0" applyFont="1" applyFill="1" applyBorder="1" applyAlignment="1" applyProtection="1">
      <alignment horizontal="left" vertical="center"/>
    </xf>
    <xf numFmtId="164" fontId="31" fillId="15" borderId="0" xfId="0" applyNumberFormat="1" applyFont="1" applyFill="1" applyBorder="1" applyAlignment="1" applyProtection="1">
      <alignment horizontal="center" vertical="center"/>
    </xf>
    <xf numFmtId="164" fontId="31" fillId="15" borderId="11" xfId="0" applyNumberFormat="1" applyFont="1" applyFill="1" applyBorder="1" applyAlignment="1" applyProtection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164" fontId="12" fillId="17" borderId="4" xfId="1" applyNumberFormat="1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center" vertical="center"/>
    </xf>
    <xf numFmtId="167" fontId="31" fillId="15" borderId="0" xfId="0" quotePrefix="1" applyNumberFormat="1" applyFont="1" applyFill="1" applyBorder="1" applyAlignment="1" applyProtection="1">
      <alignment horizontal="center" vertical="center"/>
    </xf>
    <xf numFmtId="167" fontId="31" fillId="15" borderId="11" xfId="0" quotePrefix="1" applyNumberFormat="1" applyFont="1" applyFill="1" applyBorder="1" applyAlignment="1" applyProtection="1">
      <alignment horizontal="center" vertical="center"/>
    </xf>
    <xf numFmtId="0" fontId="12" fillId="14" borderId="0" xfId="0" applyFont="1" applyFill="1" applyAlignment="1" applyProtection="1">
      <alignment vertical="center"/>
    </xf>
    <xf numFmtId="0" fontId="31" fillId="15" borderId="12" xfId="0" applyFont="1" applyFill="1" applyBorder="1" applyAlignment="1" applyProtection="1">
      <alignment horizontal="left" vertical="center"/>
    </xf>
    <xf numFmtId="0" fontId="31" fillId="15" borderId="4" xfId="0" applyFont="1" applyFill="1" applyBorder="1" applyAlignment="1" applyProtection="1">
      <alignment horizontal="left" vertical="center"/>
    </xf>
    <xf numFmtId="164" fontId="31" fillId="15" borderId="4" xfId="0" applyNumberFormat="1" applyFont="1" applyFill="1" applyBorder="1" applyAlignment="1" applyProtection="1">
      <alignment horizontal="center" vertical="center"/>
    </xf>
    <xf numFmtId="164" fontId="31" fillId="15" borderId="13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165" fontId="12" fillId="11" borderId="8" xfId="1" applyNumberFormat="1" applyFont="1" applyFill="1" applyBorder="1" applyAlignment="1" applyProtection="1">
      <alignment horizontal="center" vertical="center"/>
      <protection locked="0"/>
    </xf>
    <xf numFmtId="165" fontId="12" fillId="3" borderId="0" xfId="1" applyNumberFormat="1" applyFont="1" applyFill="1" applyBorder="1" applyAlignment="1" applyProtection="1">
      <alignment horizontal="center" vertical="center"/>
    </xf>
    <xf numFmtId="165" fontId="12" fillId="3" borderId="4" xfId="1" applyNumberFormat="1" applyFont="1" applyFill="1" applyBorder="1" applyAlignment="1" applyProtection="1">
      <alignment horizontal="center" vertical="center"/>
    </xf>
    <xf numFmtId="165" fontId="12" fillId="0" borderId="0" xfId="1" applyNumberFormat="1" applyFont="1" applyFill="1" applyAlignment="1">
      <alignment horizontal="center" vertical="center"/>
    </xf>
    <xf numFmtId="165" fontId="12" fillId="0" borderId="4" xfId="1" applyNumberFormat="1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left"/>
    </xf>
    <xf numFmtId="0" fontId="8" fillId="0" borderId="0" xfId="0" applyFont="1" applyFill="1" applyBorder="1" applyAlignment="1" applyProtection="1">
      <alignment vertical="center"/>
      <protection locked="0"/>
    </xf>
    <xf numFmtId="169" fontId="12" fillId="14" borderId="0" xfId="1" applyNumberFormat="1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165" fontId="12" fillId="19" borderId="11" xfId="1" applyNumberFormat="1" applyFont="1" applyFill="1" applyBorder="1" applyAlignment="1" applyProtection="1">
      <alignment horizontal="center" vertical="center"/>
    </xf>
    <xf numFmtId="14" fontId="0" fillId="0" borderId="0" xfId="0" applyNumberFormat="1"/>
    <xf numFmtId="0" fontId="7" fillId="0" borderId="0" xfId="0" applyFont="1" applyAlignment="1" applyProtection="1">
      <alignment horizontal="right"/>
    </xf>
    <xf numFmtId="164" fontId="34" fillId="3" borderId="17" xfId="0" applyNumberFormat="1" applyFont="1" applyFill="1" applyBorder="1" applyAlignment="1" applyProtection="1">
      <alignment horizontal="center"/>
    </xf>
    <xf numFmtId="164" fontId="34" fillId="3" borderId="18" xfId="0" applyNumberFormat="1" applyFont="1" applyFill="1" applyBorder="1" applyAlignment="1" applyProtection="1">
      <alignment horizontal="center"/>
    </xf>
    <xf numFmtId="164" fontId="34" fillId="3" borderId="19" xfId="0" applyNumberFormat="1" applyFont="1" applyFill="1" applyBorder="1" applyAlignment="1" applyProtection="1">
      <alignment horizontal="center"/>
    </xf>
    <xf numFmtId="164" fontId="2" fillId="2" borderId="0" xfId="0" applyNumberFormat="1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1" fillId="18" borderId="1" xfId="0" applyFont="1" applyFill="1" applyBorder="1" applyAlignment="1" applyProtection="1">
      <alignment horizontal="center"/>
      <protection locked="0"/>
    </xf>
    <xf numFmtId="0" fontId="1" fillId="18" borderId="3" xfId="0" applyFont="1" applyFill="1" applyBorder="1" applyAlignment="1" applyProtection="1">
      <alignment horizontal="center"/>
      <protection locked="0"/>
    </xf>
    <xf numFmtId="0" fontId="1" fillId="18" borderId="2" xfId="0" applyFont="1" applyFill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top"/>
    </xf>
    <xf numFmtId="0" fontId="6" fillId="2" borderId="0" xfId="0" applyFont="1" applyFill="1" applyAlignment="1" applyProtection="1">
      <alignment horizontal="center"/>
    </xf>
    <xf numFmtId="0" fontId="28" fillId="2" borderId="16" xfId="0" applyFont="1" applyFill="1" applyBorder="1" applyAlignment="1" applyProtection="1">
      <alignment horizontal="center" vertical="center"/>
    </xf>
    <xf numFmtId="0" fontId="9" fillId="13" borderId="0" xfId="0" applyFont="1" applyFill="1" applyBorder="1" applyAlignment="1" applyProtection="1">
      <alignment horizontal="center" vertical="center" wrapText="1"/>
    </xf>
    <xf numFmtId="164" fontId="1" fillId="18" borderId="1" xfId="0" applyNumberFormat="1" applyFont="1" applyFill="1" applyBorder="1" applyAlignment="1" applyProtection="1">
      <alignment horizontal="center"/>
      <protection locked="0"/>
    </xf>
    <xf numFmtId="164" fontId="1" fillId="18" borderId="3" xfId="0" applyNumberFormat="1" applyFont="1" applyFill="1" applyBorder="1" applyAlignment="1" applyProtection="1">
      <alignment horizontal="center"/>
      <protection locked="0"/>
    </xf>
    <xf numFmtId="164" fontId="1" fillId="18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165" fontId="2" fillId="3" borderId="5" xfId="1" applyNumberFormat="1" applyFont="1" applyFill="1" applyBorder="1" applyAlignment="1" applyProtection="1">
      <alignment horizontal="center"/>
    </xf>
    <xf numFmtId="165" fontId="2" fillId="3" borderId="7" xfId="1" applyNumberFormat="1" applyFont="1" applyFill="1" applyBorder="1" applyAlignment="1" applyProtection="1">
      <alignment horizontal="center"/>
    </xf>
    <xf numFmtId="164" fontId="2" fillId="3" borderId="5" xfId="2" applyNumberFormat="1" applyFont="1" applyFill="1" applyBorder="1" applyAlignment="1" applyProtection="1">
      <alignment horizontal="center"/>
    </xf>
    <xf numFmtId="164" fontId="2" fillId="3" borderId="7" xfId="2" applyNumberFormat="1" applyFont="1" applyFill="1" applyBorder="1" applyAlignment="1" applyProtection="1">
      <alignment horizontal="center"/>
    </xf>
    <xf numFmtId="0" fontId="29" fillId="13" borderId="5" xfId="0" applyFont="1" applyFill="1" applyBorder="1" applyAlignment="1" applyProtection="1">
      <alignment horizontal="center" vertical="center"/>
    </xf>
    <xf numFmtId="0" fontId="29" fillId="13" borderId="6" xfId="0" applyFont="1" applyFill="1" applyBorder="1" applyAlignment="1" applyProtection="1">
      <alignment horizontal="center" vertical="center"/>
    </xf>
    <xf numFmtId="0" fontId="29" fillId="13" borderId="7" xfId="0" applyFont="1" applyFill="1" applyBorder="1" applyAlignment="1" applyProtection="1">
      <alignment horizontal="center" vertical="center"/>
    </xf>
    <xf numFmtId="0" fontId="24" fillId="9" borderId="5" xfId="0" applyFont="1" applyFill="1" applyBorder="1" applyAlignment="1" applyProtection="1">
      <alignment horizontal="center" vertical="center"/>
    </xf>
    <xf numFmtId="0" fontId="24" fillId="9" borderId="6" xfId="0" applyFont="1" applyFill="1" applyBorder="1" applyAlignment="1" applyProtection="1">
      <alignment horizontal="center" vertical="center"/>
    </xf>
    <xf numFmtId="0" fontId="24" fillId="9" borderId="7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9" borderId="0" xfId="0" applyFont="1" applyFill="1" applyBorder="1" applyAlignment="1" applyProtection="1">
      <alignment horizontal="center" vertical="center"/>
    </xf>
    <xf numFmtId="0" fontId="24" fillId="9" borderId="12" xfId="0" applyFont="1" applyFill="1" applyBorder="1" applyAlignment="1" applyProtection="1">
      <alignment horizontal="center" vertical="center"/>
    </xf>
    <xf numFmtId="0" fontId="24" fillId="9" borderId="4" xfId="0" applyFont="1" applyFill="1" applyBorder="1" applyAlignment="1" applyProtection="1">
      <alignment horizontal="center" vertical="center"/>
    </xf>
    <xf numFmtId="0" fontId="24" fillId="16" borderId="5" xfId="0" applyFont="1" applyFill="1" applyBorder="1" applyAlignment="1" applyProtection="1">
      <alignment horizontal="center" vertical="center"/>
    </xf>
    <xf numFmtId="0" fontId="24" fillId="16" borderId="6" xfId="0" applyFont="1" applyFill="1" applyBorder="1" applyAlignment="1" applyProtection="1">
      <alignment horizontal="center" vertical="center"/>
    </xf>
    <xf numFmtId="0" fontId="24" fillId="16" borderId="7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/>
    </xf>
    <xf numFmtId="0" fontId="20" fillId="12" borderId="4" xfId="0" applyFont="1" applyFill="1" applyBorder="1" applyAlignment="1" applyProtection="1">
      <alignment horizontal="center" vertical="center"/>
    </xf>
    <xf numFmtId="0" fontId="20" fillId="12" borderId="13" xfId="0" applyFont="1" applyFill="1" applyBorder="1" applyAlignment="1" applyProtection="1">
      <alignment horizontal="center" vertical="center"/>
    </xf>
    <xf numFmtId="0" fontId="24" fillId="6" borderId="5" xfId="0" applyFont="1" applyFill="1" applyBorder="1" applyAlignment="1" applyProtection="1">
      <alignment horizontal="center" vertical="center"/>
    </xf>
    <xf numFmtId="0" fontId="24" fillId="6" borderId="14" xfId="0" applyFont="1" applyFill="1" applyBorder="1" applyAlignment="1" applyProtection="1">
      <alignment horizontal="center" vertical="center"/>
    </xf>
    <xf numFmtId="0" fontId="24" fillId="6" borderId="1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6" xfId="0" applyFont="1" applyFill="1" applyBorder="1" applyAlignment="1" applyProtection="1">
      <alignment horizontal="center" vertical="center"/>
    </xf>
    <xf numFmtId="0" fontId="24" fillId="8" borderId="7" xfId="0" applyFont="1" applyFill="1" applyBorder="1" applyAlignment="1" applyProtection="1">
      <alignment horizontal="center" vertical="center"/>
    </xf>
    <xf numFmtId="0" fontId="24" fillId="7" borderId="9" xfId="0" applyFont="1" applyFill="1" applyBorder="1" applyAlignment="1" applyProtection="1">
      <alignment horizontal="center" vertical="center"/>
    </xf>
    <xf numFmtId="0" fontId="24" fillId="7" borderId="14" xfId="0" applyFont="1" applyFill="1" applyBorder="1" applyAlignment="1" applyProtection="1">
      <alignment horizontal="center" vertical="center"/>
    </xf>
    <xf numFmtId="0" fontId="24" fillId="7" borderId="15" xfId="0" applyFont="1" applyFill="1" applyBorder="1" applyAlignment="1" applyProtection="1">
      <alignment horizontal="center" vertical="center"/>
    </xf>
    <xf numFmtId="166" fontId="13" fillId="3" borderId="10" xfId="1" applyNumberFormat="1" applyFont="1" applyFill="1" applyBorder="1" applyAlignment="1" applyProtection="1">
      <alignment horizontal="right" vertical="center"/>
    </xf>
    <xf numFmtId="166" fontId="13" fillId="3" borderId="0" xfId="1" applyNumberFormat="1" applyFont="1" applyFill="1" applyBorder="1" applyAlignment="1" applyProtection="1">
      <alignment horizontal="right" vertical="center"/>
    </xf>
    <xf numFmtId="170" fontId="12" fillId="0" borderId="0" xfId="0" applyNumberFormat="1" applyFont="1" applyAlignment="1" applyProtection="1">
      <alignment vertical="center"/>
    </xf>
  </cellXfs>
  <cellStyles count="3">
    <cellStyle name="Currency" xfId="2" builtinId="4"/>
    <cellStyle name="Normal" xfId="0" builtinId="0"/>
    <cellStyle name="Percent" xfId="1" builtinId="5"/>
  </cellStyles>
  <dxfs count="9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0"/>
      </font>
      <fill>
        <patternFill>
          <bgColor rgb="FF42A076"/>
        </patternFill>
      </fill>
    </dxf>
    <dxf>
      <fill>
        <patternFill patternType="lightDown">
          <bgColor theme="0" tint="-0.14996795556505021"/>
        </patternFill>
      </fill>
    </dxf>
  </dxfs>
  <tableStyles count="0" defaultTableStyle="TableStyleMedium2" defaultPivotStyle="PivotStyleLight16"/>
  <colors>
    <mruColors>
      <color rgb="FFD7DE1A"/>
      <color rgb="FF250B55"/>
      <color rgb="FF009CA6"/>
      <color rgb="FF4E4F50"/>
      <color rgb="FF78BE20"/>
      <color rgb="FFE6F7D1"/>
      <color rgb="FF005587"/>
      <color rgb="FF53565A"/>
      <color rgb="FF42A076"/>
      <color rgb="FFE8F8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E$20" lockText="1"/>
</file>

<file path=xl/ctrlProps/ctrlProp6.xml><?xml version="1.0" encoding="utf-8"?>
<formControlPr xmlns="http://schemas.microsoft.com/office/spreadsheetml/2009/9/main" objectType="Radio" checked="Checked" lockText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</xdr:row>
      <xdr:rowOff>73025</xdr:rowOff>
    </xdr:from>
    <xdr:to>
      <xdr:col>14</xdr:col>
      <xdr:colOff>1586</xdr:colOff>
      <xdr:row>23</xdr:row>
      <xdr:rowOff>118744</xdr:rowOff>
    </xdr:to>
    <xdr:sp macro="" textlink="">
      <xdr:nvSpPr>
        <xdr:cNvPr id="2" name="Google Shape;830;p1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9525" y="4525963"/>
          <a:ext cx="7842249" cy="45719"/>
        </a:xfrm>
        <a:prstGeom prst="rect">
          <a:avLst/>
        </a:prstGeom>
        <a:gradFill>
          <a:gsLst>
            <a:gs pos="0">
              <a:srgbClr val="005EB8"/>
            </a:gs>
            <a:gs pos="100000">
              <a:srgbClr val="78BE20"/>
            </a:gs>
          </a:gsLst>
          <a:lin ang="18900044" scaled="0"/>
        </a:gra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endParaRPr sz="1800" b="0" i="0" u="none" strike="noStrike" cap="none">
            <a:solidFill>
              <a:schemeClr val="lt1"/>
            </a:solidFill>
            <a:latin typeface="Open Sans"/>
            <a:ea typeface="Open Sans"/>
            <a:cs typeface="Open Sans"/>
            <a:sym typeface="Open San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219075</xdr:rowOff>
        </xdr:from>
        <xdr:to>
          <xdr:col>3</xdr:col>
          <xdr:colOff>304800</xdr:colOff>
          <xdr:row>7</xdr:row>
          <xdr:rowOff>161925</xdr:rowOff>
        </xdr:to>
        <xdr:sp macro="" textlink="">
          <xdr:nvSpPr>
            <xdr:cNvPr id="4097" name="Group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22</xdr:row>
          <xdr:rowOff>0</xdr:rowOff>
        </xdr:from>
        <xdr:to>
          <xdr:col>3</xdr:col>
          <xdr:colOff>295275</xdr:colOff>
          <xdr:row>23</xdr:row>
          <xdr:rowOff>95250</xdr:rowOff>
        </xdr:to>
        <xdr:sp macro="" textlink="">
          <xdr:nvSpPr>
            <xdr:cNvPr id="4098" name="Group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5</xdr:row>
          <xdr:rowOff>142875</xdr:rowOff>
        </xdr:from>
        <xdr:to>
          <xdr:col>4</xdr:col>
          <xdr:colOff>95250</xdr:colOff>
          <xdr:row>8</xdr:row>
          <xdr:rowOff>85725</xdr:rowOff>
        </xdr:to>
        <xdr:sp macro="" textlink="">
          <xdr:nvSpPr>
            <xdr:cNvPr id="4099" name="Group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22</xdr:row>
          <xdr:rowOff>0</xdr:rowOff>
        </xdr:from>
        <xdr:to>
          <xdr:col>3</xdr:col>
          <xdr:colOff>200025</xdr:colOff>
          <xdr:row>24</xdr:row>
          <xdr:rowOff>57150</xdr:rowOff>
        </xdr:to>
        <xdr:sp macro="" textlink="">
          <xdr:nvSpPr>
            <xdr:cNvPr id="4100" name="Group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171450</xdr:rowOff>
        </xdr:from>
        <xdr:to>
          <xdr:col>1</xdr:col>
          <xdr:colOff>285750</xdr:colOff>
          <xdr:row>20</xdr:row>
          <xdr:rowOff>28575</xdr:rowOff>
        </xdr:to>
        <xdr:sp macro="" textlink="">
          <xdr:nvSpPr>
            <xdr:cNvPr id="4101" name="Option 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171450</xdr:rowOff>
        </xdr:from>
        <xdr:to>
          <xdr:col>2</xdr:col>
          <xdr:colOff>276225</xdr:colOff>
          <xdr:row>20</xdr:row>
          <xdr:rowOff>28575</xdr:rowOff>
        </xdr:to>
        <xdr:sp macro="" textlink="">
          <xdr:nvSpPr>
            <xdr:cNvPr id="4102" name="Option 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13</xdr:col>
      <xdr:colOff>95249</xdr:colOff>
      <xdr:row>1</xdr:row>
      <xdr:rowOff>7938</xdr:rowOff>
    </xdr:to>
    <xdr:sp macro="" textlink="">
      <xdr:nvSpPr>
        <xdr:cNvPr id="11" name="Google Shape;830;p14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0" y="0"/>
          <a:ext cx="7842249" cy="134938"/>
        </a:xfrm>
        <a:prstGeom prst="rect">
          <a:avLst/>
        </a:prstGeom>
        <a:gradFill>
          <a:gsLst>
            <a:gs pos="0">
              <a:srgbClr val="005EB8"/>
            </a:gs>
            <a:gs pos="100000">
              <a:srgbClr val="78BE20"/>
            </a:gs>
          </a:gsLst>
          <a:lin ang="18900044" scaled="0"/>
        </a:gra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endParaRPr sz="1800" b="0" i="0" u="none" strike="noStrike" cap="none">
            <a:solidFill>
              <a:schemeClr val="lt1"/>
            </a:solidFill>
            <a:latin typeface="Open Sans"/>
            <a:ea typeface="Open Sans"/>
            <a:cs typeface="Open Sans"/>
            <a:sym typeface="Open Sans"/>
          </a:endParaRPr>
        </a:p>
      </xdr:txBody>
    </xdr:sp>
    <xdr:clientData/>
  </xdr:twoCellAnchor>
  <xdr:twoCellAnchor editAs="oneCell">
    <xdr:from>
      <xdr:col>0</xdr:col>
      <xdr:colOff>103187</xdr:colOff>
      <xdr:row>23</xdr:row>
      <xdr:rowOff>190500</xdr:rowOff>
    </xdr:from>
    <xdr:to>
      <xdr:col>1</xdr:col>
      <xdr:colOff>620203</xdr:colOff>
      <xdr:row>25</xdr:row>
      <xdr:rowOff>36513</xdr:rowOff>
    </xdr:to>
    <xdr:pic>
      <xdr:nvPicPr>
        <xdr:cNvPr id="12" name="Google Shape;22;p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3187" y="4643438"/>
          <a:ext cx="628141" cy="238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18</xdr:row>
          <xdr:rowOff>171450</xdr:rowOff>
        </xdr:from>
        <xdr:to>
          <xdr:col>4</xdr:col>
          <xdr:colOff>9525</xdr:colOff>
          <xdr:row>20</xdr:row>
          <xdr:rowOff>38100</xdr:rowOff>
        </xdr:to>
        <xdr:sp macro="" textlink="">
          <xdr:nvSpPr>
            <xdr:cNvPr id="4107" name="Group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15</xdr:row>
          <xdr:rowOff>152400</xdr:rowOff>
        </xdr:from>
        <xdr:to>
          <xdr:col>4</xdr:col>
          <xdr:colOff>38100</xdr:colOff>
          <xdr:row>17</xdr:row>
          <xdr:rowOff>47625</xdr:rowOff>
        </xdr:to>
        <xdr:sp macro="" textlink="">
          <xdr:nvSpPr>
            <xdr:cNvPr id="4108" name="Group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1</xdr:col>
          <xdr:colOff>304800</xdr:colOff>
          <xdr:row>9</xdr:row>
          <xdr:rowOff>114300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E40CE-947B-4A78-8C7E-0CDDE3DE179E}">
  <sheetPr codeName="Sheet4"/>
  <dimension ref="A1:M29"/>
  <sheetViews>
    <sheetView showGridLines="0" tabSelected="1" zoomScale="120" zoomScaleNormal="120" workbookViewId="0">
      <selection activeCell="B6" sqref="B6:D6"/>
    </sheetView>
  </sheetViews>
  <sheetFormatPr defaultRowHeight="16.5" x14ac:dyDescent="0.3"/>
  <cols>
    <col min="1" max="1" width="1.7109375" style="1" customWidth="1"/>
    <col min="2" max="3" width="11.7109375" style="1" customWidth="1"/>
    <col min="4" max="4" width="4.7109375" style="1" customWidth="1"/>
    <col min="5" max="5" width="4.140625" style="1" customWidth="1"/>
    <col min="6" max="6" width="1.5703125" style="1" customWidth="1"/>
    <col min="7" max="7" width="31.140625" style="1" customWidth="1"/>
    <col min="8" max="8" width="5.7109375" style="1" customWidth="1"/>
    <col min="9" max="9" width="20.28515625" style="1" customWidth="1"/>
    <col min="10" max="10" width="2.85546875" style="1" customWidth="1"/>
    <col min="11" max="12" width="13.7109375" style="1" customWidth="1"/>
    <col min="13" max="14" width="1.5703125" style="1" customWidth="1"/>
    <col min="15" max="16" width="9.85546875" style="1" customWidth="1"/>
    <col min="17" max="16384" width="9.140625" style="1"/>
  </cols>
  <sheetData>
    <row r="1" spans="1:13" ht="9.75" customHeight="1" x14ac:dyDescent="0.3"/>
    <row r="2" spans="1:13" ht="45" customHeight="1" x14ac:dyDescent="0.6">
      <c r="B2" s="140" t="s">
        <v>86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3" ht="24" customHeight="1" x14ac:dyDescent="0.3">
      <c r="B3" s="141" t="s">
        <v>74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3" ht="6" customHeight="1" x14ac:dyDescent="0.3">
      <c r="B4" s="21"/>
      <c r="C4" s="21"/>
      <c r="D4" s="21"/>
      <c r="E4" s="21"/>
      <c r="F4" s="3"/>
      <c r="G4" s="3"/>
      <c r="H4" s="3"/>
      <c r="I4" s="3"/>
      <c r="J4" s="3"/>
      <c r="K4" s="3"/>
      <c r="L4" s="3"/>
      <c r="M4" s="3"/>
    </row>
    <row r="5" spans="1:13" ht="15.75" customHeight="1" thickBot="1" x14ac:dyDescent="0.35">
      <c r="B5" s="2" t="s">
        <v>1</v>
      </c>
      <c r="E5" s="2"/>
      <c r="F5" s="3"/>
      <c r="G5" s="143" t="s">
        <v>64</v>
      </c>
      <c r="H5" s="143"/>
      <c r="I5" s="143"/>
      <c r="J5" s="143"/>
      <c r="K5" s="143"/>
      <c r="L5" s="143"/>
      <c r="M5" s="4"/>
    </row>
    <row r="6" spans="1:13" ht="15.75" customHeight="1" thickBot="1" x14ac:dyDescent="0.35">
      <c r="A6" s="11">
        <f>IF(B6="Vendor Services",1,IF(B6="Business Services",1,0))</f>
        <v>0</v>
      </c>
      <c r="B6" s="137"/>
      <c r="C6" s="138"/>
      <c r="D6" s="139"/>
      <c r="E6" s="5"/>
      <c r="F6" s="4"/>
      <c r="G6" s="4"/>
      <c r="H6" s="142"/>
      <c r="I6" s="142"/>
      <c r="J6" s="6"/>
      <c r="K6" s="3"/>
      <c r="L6" s="3"/>
      <c r="M6" s="4"/>
    </row>
    <row r="7" spans="1:13" ht="15.75" customHeight="1" x14ac:dyDescent="0.3">
      <c r="A7" s="7"/>
      <c r="B7" s="8"/>
      <c r="C7" s="8"/>
      <c r="D7" s="8"/>
      <c r="E7" s="5"/>
      <c r="F7" s="4"/>
      <c r="G7" s="26" t="s">
        <v>2</v>
      </c>
      <c r="H7" s="132">
        <f>IFERROR(Calculations!Q14,0)</f>
        <v>0</v>
      </c>
      <c r="I7" s="133"/>
      <c r="J7" s="133"/>
      <c r="K7" s="133"/>
      <c r="L7" s="134"/>
      <c r="M7" s="4"/>
    </row>
    <row r="8" spans="1:13" ht="15.75" customHeight="1" thickBot="1" x14ac:dyDescent="0.35">
      <c r="A8" s="11"/>
      <c r="B8" s="2" t="s">
        <v>36</v>
      </c>
      <c r="E8" s="2"/>
      <c r="F8" s="4"/>
      <c r="G8" s="125" t="s">
        <v>78</v>
      </c>
      <c r="H8" s="135">
        <f>IFERROR(Calculations!Q15,0)</f>
        <v>0</v>
      </c>
      <c r="I8" s="135"/>
      <c r="J8" s="135"/>
      <c r="K8" s="135"/>
      <c r="L8" s="135"/>
      <c r="M8" s="4"/>
    </row>
    <row r="9" spans="1:13" ht="15.75" customHeight="1" thickBot="1" x14ac:dyDescent="0.35">
      <c r="A9" s="11">
        <f>IF(B9="Bill Rate",1,0)</f>
        <v>0</v>
      </c>
      <c r="B9" s="137"/>
      <c r="C9" s="138"/>
      <c r="D9" s="139"/>
      <c r="F9" s="9"/>
      <c r="G9" s="20"/>
      <c r="H9" s="136"/>
      <c r="I9" s="136"/>
      <c r="J9" s="4"/>
      <c r="K9" s="3"/>
      <c r="L9" s="3"/>
      <c r="M9" s="4"/>
    </row>
    <row r="10" spans="1:13" ht="15.75" customHeight="1" x14ac:dyDescent="0.3">
      <c r="B10" s="25" t="s">
        <v>4</v>
      </c>
      <c r="F10" s="4"/>
      <c r="G10" s="26" t="s">
        <v>87</v>
      </c>
      <c r="H10" s="132">
        <f>IFERROR(Calculations!Q16,0)</f>
        <v>0</v>
      </c>
      <c r="I10" s="133"/>
      <c r="J10" s="133"/>
      <c r="K10" s="133"/>
      <c r="L10" s="134"/>
      <c r="M10" s="4"/>
    </row>
    <row r="11" spans="1:13" ht="15.75" customHeight="1" x14ac:dyDescent="0.3">
      <c r="B11" s="25" t="s">
        <v>37</v>
      </c>
      <c r="F11" s="4"/>
      <c r="G11" s="125" t="s">
        <v>79</v>
      </c>
      <c r="H11" s="135">
        <f>IFERROR(Calculations!Q17,0)</f>
        <v>0</v>
      </c>
      <c r="I11" s="135"/>
      <c r="J11" s="135"/>
      <c r="K11" s="135"/>
      <c r="L11" s="135"/>
      <c r="M11" s="4"/>
    </row>
    <row r="12" spans="1:13" ht="15.75" customHeight="1" x14ac:dyDescent="0.3">
      <c r="B12" s="10"/>
      <c r="F12" s="9"/>
      <c r="G12" s="4"/>
      <c r="H12" s="4"/>
      <c r="I12" s="4"/>
      <c r="J12" s="4"/>
      <c r="K12" s="3"/>
      <c r="L12" s="3"/>
      <c r="M12" s="4"/>
    </row>
    <row r="13" spans="1:13" ht="15.75" customHeight="1" thickBot="1" x14ac:dyDescent="0.35">
      <c r="B13" s="2" t="str">
        <f>IF(B9="","Rate:",B9&amp;":")</f>
        <v>Rate:</v>
      </c>
      <c r="F13" s="4"/>
      <c r="G13" s="26" t="s">
        <v>41</v>
      </c>
      <c r="H13" s="132">
        <f>IFERROR(H10-H7,0)</f>
        <v>0</v>
      </c>
      <c r="I13" s="133"/>
      <c r="J13" s="133"/>
      <c r="K13" s="133"/>
      <c r="L13" s="134"/>
      <c r="M13" s="4"/>
    </row>
    <row r="14" spans="1:13" ht="15.75" customHeight="1" thickBot="1" x14ac:dyDescent="0.35">
      <c r="A14" s="11">
        <f>IF(E20=2,IF(B14&gt;0,1,0),0)</f>
        <v>0</v>
      </c>
      <c r="B14" s="145"/>
      <c r="C14" s="146"/>
      <c r="D14" s="147"/>
      <c r="E14" s="18" t="b">
        <v>0</v>
      </c>
      <c r="F14" s="4"/>
      <c r="G14" s="125" t="s">
        <v>76</v>
      </c>
      <c r="H14" s="135">
        <f>IFERROR(H11-H7,0)</f>
        <v>0</v>
      </c>
      <c r="I14" s="135"/>
      <c r="J14" s="135"/>
      <c r="K14" s="135"/>
      <c r="L14" s="135"/>
      <c r="M14" s="4"/>
    </row>
    <row r="15" spans="1:13" ht="15.75" customHeight="1" x14ac:dyDescent="0.3">
      <c r="F15" s="4"/>
      <c r="G15" s="4"/>
      <c r="H15" s="4"/>
      <c r="I15" s="4"/>
      <c r="J15" s="4"/>
      <c r="K15" s="3"/>
      <c r="L15" s="3"/>
      <c r="M15" s="4"/>
    </row>
    <row r="16" spans="1:13" ht="15.75" customHeight="1" x14ac:dyDescent="0.3">
      <c r="B16" s="144" t="str">
        <f>IF(A14=1,"NOTE: Refer to the WO setup guide for the appropriate service fee override.","")</f>
        <v/>
      </c>
      <c r="C16" s="144"/>
      <c r="D16" s="144"/>
      <c r="F16" s="4"/>
      <c r="G16" s="26" t="s">
        <v>3</v>
      </c>
      <c r="H16" s="132" t="str">
        <f>IFERROR(IF(B6&lt;&gt;"Payroll Services","N/A",Calculations!Q19),"N/A")</f>
        <v>N/A</v>
      </c>
      <c r="I16" s="133"/>
      <c r="J16" s="133"/>
      <c r="K16" s="133"/>
      <c r="L16" s="134"/>
      <c r="M16" s="4"/>
    </row>
    <row r="17" spans="2:13" ht="15.75" customHeight="1" x14ac:dyDescent="0.3">
      <c r="B17" s="144"/>
      <c r="C17" s="144"/>
      <c r="D17" s="144"/>
      <c r="E17" s="19"/>
      <c r="F17" s="4"/>
      <c r="G17" s="125" t="s">
        <v>77</v>
      </c>
      <c r="H17" s="135" t="str">
        <f>IFERROR(IF(B6&lt;&gt;"Payroll Services","N/A",Calculations!Q20),"N/A")</f>
        <v>N/A</v>
      </c>
      <c r="I17" s="135"/>
      <c r="J17" s="135"/>
      <c r="K17" s="135"/>
      <c r="L17" s="135"/>
      <c r="M17" s="4"/>
    </row>
    <row r="18" spans="2:13" ht="15.75" customHeight="1" x14ac:dyDescent="0.3">
      <c r="F18" s="4"/>
      <c r="G18" s="4"/>
      <c r="H18" s="4"/>
      <c r="I18" s="4"/>
      <c r="J18" s="4"/>
      <c r="K18" s="4"/>
      <c r="L18" s="4"/>
      <c r="M18" s="4"/>
    </row>
    <row r="19" spans="2:13" ht="15.75" customHeight="1" thickBot="1" x14ac:dyDescent="0.35">
      <c r="B19" s="2" t="s">
        <v>80</v>
      </c>
      <c r="F19" s="12"/>
      <c r="G19" s="12"/>
      <c r="H19" s="149" t="str">
        <f>IF(E20=1,"Service fee override:","")</f>
        <v/>
      </c>
      <c r="I19" s="149"/>
      <c r="J19" s="13"/>
      <c r="K19" s="149" t="str">
        <f>IF(E20=1,"Broker fee percentage and amount:","")</f>
        <v/>
      </c>
      <c r="L19" s="149"/>
      <c r="M19" s="12"/>
    </row>
    <row r="20" spans="2:13" ht="15.75" customHeight="1" thickBot="1" x14ac:dyDescent="0.35">
      <c r="B20" s="22" t="s">
        <v>30</v>
      </c>
      <c r="C20" s="23" t="s">
        <v>31</v>
      </c>
      <c r="D20" s="24"/>
      <c r="E20" s="19">
        <v>2</v>
      </c>
      <c r="F20" s="12"/>
      <c r="G20" s="12"/>
      <c r="H20" s="150" t="str">
        <f>IF(B6="Payroll Services","0%",IF(B6="","N/A","Refer to WO setup guide"))</f>
        <v>N/A</v>
      </c>
      <c r="I20" s="151"/>
      <c r="J20" s="13"/>
      <c r="K20" s="152" t="str">
        <f>IF(E20=1,Calculations!Q24,"")</f>
        <v/>
      </c>
      <c r="L20" s="153"/>
      <c r="M20" s="12"/>
    </row>
    <row r="21" spans="2:13" ht="6" customHeight="1" x14ac:dyDescent="0.3">
      <c r="B21" s="126"/>
      <c r="C21" s="126"/>
      <c r="D21" s="128"/>
      <c r="E21" s="19"/>
      <c r="F21" s="12"/>
      <c r="G21" s="12"/>
      <c r="H21" s="12"/>
      <c r="I21" s="12"/>
      <c r="J21" s="12"/>
      <c r="K21" s="12"/>
      <c r="L21" s="12"/>
      <c r="M21" s="12"/>
    </row>
    <row r="22" spans="2:13" ht="15.75" customHeight="1" x14ac:dyDescent="0.3">
      <c r="B22" s="126"/>
      <c r="C22" s="126"/>
      <c r="D22" s="128"/>
      <c r="E22" s="19"/>
      <c r="F22" s="12"/>
      <c r="G22" s="12"/>
      <c r="H22" s="12"/>
      <c r="I22" s="12"/>
      <c r="J22" s="12"/>
      <c r="K22" s="154">
        <f>H7*Calculations!C8</f>
        <v>0</v>
      </c>
      <c r="L22" s="155"/>
      <c r="M22" s="12"/>
    </row>
    <row r="23" spans="2:13" ht="22.5" customHeight="1" x14ac:dyDescent="0.3">
      <c r="B23" s="148" t="str">
        <f>IF(B9="Bill Rate","PMO-sourced option unavailable with Bill Rate selected.","")</f>
        <v/>
      </c>
      <c r="C23" s="148"/>
      <c r="D23" s="148"/>
      <c r="F23" s="12"/>
      <c r="G23" s="12"/>
      <c r="H23" s="12"/>
      <c r="I23" s="12"/>
      <c r="J23" s="12"/>
      <c r="K23" s="12"/>
      <c r="L23" s="12"/>
      <c r="M23" s="12"/>
    </row>
    <row r="24" spans="2:13" ht="13.5" customHeight="1" x14ac:dyDescent="0.3">
      <c r="B24" s="11" t="b">
        <f>IF(B6="Payroll Services",IF(E20=2,1,0))</f>
        <v>0</v>
      </c>
      <c r="F24" s="15"/>
      <c r="G24" s="15"/>
      <c r="H24" s="15"/>
      <c r="I24" s="15"/>
      <c r="J24" s="15"/>
      <c r="K24" s="15"/>
      <c r="L24" s="15"/>
      <c r="M24" s="15"/>
    </row>
    <row r="25" spans="2:13" ht="15.75" customHeight="1" x14ac:dyDescent="0.3">
      <c r="E25" s="14"/>
      <c r="F25" s="16"/>
      <c r="G25" s="16"/>
      <c r="H25" s="16"/>
      <c r="I25" s="16"/>
      <c r="J25" s="16"/>
      <c r="K25" s="16"/>
      <c r="L25" s="131" t="str">
        <f ca="1">"©"&amp;Lists!D4&amp;", MBO Partners, Inc. All rights reserved. Intended solely for the use of MBO Partners and GE personnel. All other uses expressly prohibited."</f>
        <v>©2021, MBO Partners, Inc. All rights reserved. Intended solely for the use of MBO Partners and GE personnel. All other uses expressly prohibited.</v>
      </c>
      <c r="M25" s="17"/>
    </row>
    <row r="26" spans="2:13" ht="15.75" customHeight="1" x14ac:dyDescent="0.3">
      <c r="E26" s="14"/>
    </row>
    <row r="27" spans="2:13" ht="15.75" customHeight="1" x14ac:dyDescent="0.3">
      <c r="C27" s="16"/>
      <c r="D27" s="16"/>
      <c r="E27" s="16"/>
    </row>
    <row r="28" spans="2:13" ht="15.75" customHeight="1" x14ac:dyDescent="0.3"/>
    <row r="29" spans="2:13" ht="15.75" customHeight="1" x14ac:dyDescent="0.3"/>
  </sheetData>
  <sheetProtection algorithmName="SHA-512" hashValue="qTV32IfW1dKDZ6xZ+iQNYoTN6Pu3PrPsYKPxvc7unMyxUXglLMurSvs6ouzeT8zrfjEbrsTIODpMrXvROC+P7g==" saltValue="PKZoxtkgBa53vtxdbxQTOQ==" spinCount="100000" sheet="1" objects="1" scenarios="1"/>
  <mergeCells count="23">
    <mergeCell ref="B16:D17"/>
    <mergeCell ref="H17:L17"/>
    <mergeCell ref="B14:D14"/>
    <mergeCell ref="B23:D23"/>
    <mergeCell ref="H19:I19"/>
    <mergeCell ref="K19:L19"/>
    <mergeCell ref="H20:I20"/>
    <mergeCell ref="K20:L20"/>
    <mergeCell ref="K22:L22"/>
    <mergeCell ref="B9:D9"/>
    <mergeCell ref="B2:L2"/>
    <mergeCell ref="B3:L3"/>
    <mergeCell ref="B6:D6"/>
    <mergeCell ref="H6:I6"/>
    <mergeCell ref="G5:L5"/>
    <mergeCell ref="H7:L7"/>
    <mergeCell ref="H10:L10"/>
    <mergeCell ref="H13:L13"/>
    <mergeCell ref="H16:L16"/>
    <mergeCell ref="H11:L11"/>
    <mergeCell ref="H8:L8"/>
    <mergeCell ref="H9:I9"/>
    <mergeCell ref="H14:L14"/>
  </mergeCells>
  <conditionalFormatting sqref="B19:D22">
    <cfRule type="expression" dxfId="8" priority="18">
      <formula>$B$9="Bill Rate"</formula>
    </cfRule>
  </conditionalFormatting>
  <conditionalFormatting sqref="B23">
    <cfRule type="expression" dxfId="7" priority="14">
      <formula>$B$9="Bill Rate"</formula>
    </cfRule>
  </conditionalFormatting>
  <conditionalFormatting sqref="H16:L16">
    <cfRule type="expression" dxfId="6" priority="13">
      <formula>$B$6&lt;&gt;"Payroll Services"</formula>
    </cfRule>
  </conditionalFormatting>
  <conditionalFormatting sqref="B20:D22">
    <cfRule type="expression" dxfId="5" priority="11">
      <formula>$B$9="Bill Rate"</formula>
    </cfRule>
  </conditionalFormatting>
  <conditionalFormatting sqref="F19:M21 F23:M23 F22:J22 M22">
    <cfRule type="expression" dxfId="4" priority="28">
      <formula>$E$20=2</formula>
    </cfRule>
    <cfRule type="expression" dxfId="3" priority="29">
      <formula>$B$9="Bill Rate"</formula>
    </cfRule>
  </conditionalFormatting>
  <conditionalFormatting sqref="K22:L22">
    <cfRule type="expression" dxfId="2" priority="3">
      <formula>$E$20=2</formula>
    </cfRule>
    <cfRule type="expression" dxfId="1" priority="4">
      <formula>$B$9="Bill Rate"</formula>
    </cfRule>
  </conditionalFormatting>
  <conditionalFormatting sqref="B16:D17">
    <cfRule type="expression" dxfId="0" priority="1">
      <formula>$A$14&lt;&gt;1</formula>
    </cfRule>
  </conditionalFormatting>
  <dataValidations count="2">
    <dataValidation type="list" allowBlank="1" showInputMessage="1" showErrorMessage="1" sqref="B9:D9" xr:uid="{6AAD2678-36CA-481A-9BF4-1529C80354EC}">
      <formula1>Rates</formula1>
    </dataValidation>
    <dataValidation type="list" allowBlank="1" showInputMessage="1" showErrorMessage="1" sqref="B6:D6" xr:uid="{5AC9A9E4-DA41-4612-9D77-E2F61D64BB52}">
      <formula1>Services2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5</xdr:row>
                    <xdr:rowOff>219075</xdr:rowOff>
                  </from>
                  <to>
                    <xdr:col>3</xdr:col>
                    <xdr:colOff>304800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Group Box 2">
              <controlPr defaultSize="0" autoFill="0" autoPict="0">
                <anchor moveWithCells="1">
                  <from>
                    <xdr:col>0</xdr:col>
                    <xdr:colOff>76200</xdr:colOff>
                    <xdr:row>22</xdr:row>
                    <xdr:rowOff>0</xdr:rowOff>
                  </from>
                  <to>
                    <xdr:col>3</xdr:col>
                    <xdr:colOff>295275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Group Box 3">
              <controlPr defaultSize="0" autoFill="0" autoPict="0">
                <anchor moveWithCells="1">
                  <from>
                    <xdr:col>0</xdr:col>
                    <xdr:colOff>66675</xdr:colOff>
                    <xdr:row>5</xdr:row>
                    <xdr:rowOff>142875</xdr:rowOff>
                  </from>
                  <to>
                    <xdr:col>4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Group Box 4">
              <controlPr defaultSize="0" autoFill="0" autoPict="0">
                <anchor moveWithCells="1">
                  <from>
                    <xdr:col>0</xdr:col>
                    <xdr:colOff>47625</xdr:colOff>
                    <xdr:row>22</xdr:row>
                    <xdr:rowOff>0</xdr:rowOff>
                  </from>
                  <to>
                    <xdr:col>3</xdr:col>
                    <xdr:colOff>200025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Option Button 5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171450</xdr:rowOff>
                  </from>
                  <to>
                    <xdr:col>1</xdr:col>
                    <xdr:colOff>285750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Option Button 6">
              <controlPr defaultSize="0" autoFill="0" autoLine="0" autoPict="0">
                <anchor moveWithCells="1">
                  <from>
                    <xdr:col>2</xdr:col>
                    <xdr:colOff>19050</xdr:colOff>
                    <xdr:row>18</xdr:row>
                    <xdr:rowOff>171450</xdr:rowOff>
                  </from>
                  <to>
                    <xdr:col>2</xdr:col>
                    <xdr:colOff>276225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0" name="Group Box 11">
              <controlPr defaultSize="0" autoFill="0" autoPict="0" altText="">
                <anchor moveWithCells="1">
                  <from>
                    <xdr:col>0</xdr:col>
                    <xdr:colOff>47625</xdr:colOff>
                    <xdr:row>18</xdr:row>
                    <xdr:rowOff>171450</xdr:rowOff>
                  </from>
                  <to>
                    <xdr:col>4</xdr:col>
                    <xdr:colOff>9525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1" name="Group Box 12">
              <controlPr defaultSize="0" autoFill="0" autoPict="0">
                <anchor moveWithCells="1">
                  <from>
                    <xdr:col>0</xdr:col>
                    <xdr:colOff>57150</xdr:colOff>
                    <xdr:row>15</xdr:row>
                    <xdr:rowOff>152400</xdr:rowOff>
                  </from>
                  <to>
                    <xdr:col>4</xdr:col>
                    <xdr:colOff>38100</xdr:colOff>
                    <xdr:row>17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6907-0D2A-4A9B-87AC-5DB62A3E1AAD}">
  <sheetPr codeName="Sheet2"/>
  <dimension ref="A1:S35"/>
  <sheetViews>
    <sheetView showGridLines="0" workbookViewId="0">
      <selection activeCell="Q25" sqref="Q25"/>
    </sheetView>
  </sheetViews>
  <sheetFormatPr defaultRowHeight="12.75" x14ac:dyDescent="0.25"/>
  <cols>
    <col min="1" max="1" width="1.7109375" style="29" customWidth="1"/>
    <col min="2" max="2" width="15.5703125" style="29" customWidth="1"/>
    <col min="3" max="12" width="13.28515625" style="29" customWidth="1"/>
    <col min="13" max="13" width="3.7109375" style="29" customWidth="1"/>
    <col min="14" max="14" width="28.5703125" style="119" customWidth="1"/>
    <col min="15" max="15" width="14.7109375" style="119" customWidth="1"/>
    <col min="16" max="17" width="14.7109375" style="29" customWidth="1"/>
    <col min="18" max="18" width="3.7109375" style="29" customWidth="1"/>
    <col min="19" max="21" width="13.28515625" style="29" customWidth="1"/>
    <col min="22" max="24" width="12.7109375" style="29" customWidth="1"/>
    <col min="25" max="16384" width="9.140625" style="29"/>
  </cols>
  <sheetData>
    <row r="1" spans="1:18" ht="13.5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  <c r="O1" s="28"/>
      <c r="P1" s="27"/>
      <c r="Q1" s="27"/>
      <c r="R1" s="27"/>
    </row>
    <row r="2" spans="1:18" ht="13.5" customHeight="1" x14ac:dyDescent="0.25">
      <c r="A2" s="27"/>
      <c r="B2" s="172" t="s">
        <v>63</v>
      </c>
      <c r="C2" s="173"/>
      <c r="D2" s="173"/>
      <c r="E2" s="173"/>
      <c r="F2" s="173"/>
      <c r="G2" s="173"/>
      <c r="H2" s="174"/>
      <c r="I2" s="178" t="s">
        <v>56</v>
      </c>
      <c r="J2" s="179"/>
      <c r="K2" s="179"/>
      <c r="L2" s="180"/>
      <c r="M2" s="27"/>
      <c r="N2" s="162" t="s">
        <v>43</v>
      </c>
      <c r="O2" s="163"/>
      <c r="P2" s="163"/>
      <c r="Q2" s="163"/>
      <c r="R2" s="27"/>
    </row>
    <row r="3" spans="1:18" ht="13.5" customHeight="1" thickBot="1" x14ac:dyDescent="0.3">
      <c r="A3" s="27"/>
      <c r="B3" s="30"/>
      <c r="C3" s="31" t="s">
        <v>11</v>
      </c>
      <c r="D3" s="32" t="s">
        <v>52</v>
      </c>
      <c r="E3" s="32" t="s">
        <v>32</v>
      </c>
      <c r="F3" s="32" t="s">
        <v>33</v>
      </c>
      <c r="G3" s="32"/>
      <c r="H3" s="33"/>
      <c r="I3" s="34" t="s">
        <v>57</v>
      </c>
      <c r="J3" s="34" t="s">
        <v>58</v>
      </c>
      <c r="K3" s="35" t="s">
        <v>59</v>
      </c>
      <c r="L3" s="36" t="s">
        <v>60</v>
      </c>
      <c r="M3" s="27"/>
      <c r="N3" s="37"/>
      <c r="O3" s="38"/>
      <c r="P3" s="39" t="s">
        <v>55</v>
      </c>
      <c r="Q3" s="40">
        <f>IFERROR(SUM(Q4:Q7),"N/A")</f>
        <v>0</v>
      </c>
      <c r="R3" s="27"/>
    </row>
    <row r="4" spans="1:18" ht="13.5" customHeight="1" thickBot="1" x14ac:dyDescent="0.3">
      <c r="A4" s="27"/>
      <c r="B4" s="31" t="s">
        <v>5</v>
      </c>
      <c r="C4" s="120">
        <v>0.09</v>
      </c>
      <c r="D4" s="120">
        <v>0</v>
      </c>
      <c r="E4" s="42">
        <f>IF(P10="NO",0,Calculations!C8)</f>
        <v>0</v>
      </c>
      <c r="F4" s="121">
        <f>C4+E4</f>
        <v>0.09</v>
      </c>
      <c r="G4" s="42"/>
      <c r="H4" s="42"/>
      <c r="I4" s="43">
        <v>0</v>
      </c>
      <c r="J4" s="43">
        <v>26</v>
      </c>
      <c r="K4" s="120">
        <v>0.2</v>
      </c>
      <c r="L4" s="120">
        <v>0.2</v>
      </c>
      <c r="M4" s="44">
        <v>1</v>
      </c>
      <c r="N4" s="45" t="s">
        <v>12</v>
      </c>
      <c r="O4" s="46"/>
      <c r="P4" s="47" t="str">
        <f>IF('Rate Calculator'!B6="","Not Selected",'Rate Calculator'!B6)</f>
        <v>Not Selected</v>
      </c>
      <c r="Q4" s="48" t="str">
        <f>IFERROR(VLOOKUP(P4,B4:M7,12,FALSE)*10,"N/A")</f>
        <v>N/A</v>
      </c>
      <c r="R4" s="27"/>
    </row>
    <row r="5" spans="1:18" ht="13.5" customHeight="1" thickBot="1" x14ac:dyDescent="0.3">
      <c r="A5" s="27"/>
      <c r="B5" s="49" t="s">
        <v>8</v>
      </c>
      <c r="C5" s="120">
        <v>0.05</v>
      </c>
      <c r="D5" s="120">
        <v>0</v>
      </c>
      <c r="E5" s="42">
        <f>IF(P10="NO",0,Calculations!C8)</f>
        <v>0</v>
      </c>
      <c r="F5" s="121">
        <f>C5+E5</f>
        <v>0.05</v>
      </c>
      <c r="G5" s="42"/>
      <c r="H5" s="42"/>
      <c r="I5" s="43">
        <v>26.01</v>
      </c>
      <c r="J5" s="43">
        <v>50</v>
      </c>
      <c r="K5" s="120">
        <v>0.2</v>
      </c>
      <c r="L5" s="120">
        <v>0.2</v>
      </c>
      <c r="M5" s="44">
        <v>3</v>
      </c>
      <c r="N5" s="45" t="s">
        <v>13</v>
      </c>
      <c r="O5" s="46"/>
      <c r="P5" s="47" t="str">
        <f>IF('Rate Calculator'!B9="","Not Selected",'Rate Calculator'!B9)</f>
        <v>Not Selected</v>
      </c>
      <c r="Q5" s="48" t="str">
        <f>IF(P5="Bill Rate",1,IF(P5="Pay Rate",2,"N/A"))</f>
        <v>N/A</v>
      </c>
      <c r="R5" s="27"/>
    </row>
    <row r="6" spans="1:18" ht="13.5" customHeight="1" thickBot="1" x14ac:dyDescent="0.3">
      <c r="A6" s="27"/>
      <c r="B6" s="49" t="s">
        <v>9</v>
      </c>
      <c r="C6" s="121">
        <f>K9</f>
        <v>0.2</v>
      </c>
      <c r="D6" s="120">
        <v>0</v>
      </c>
      <c r="E6" s="42">
        <f>IF(P10="NO",0,Calculations!C8)</f>
        <v>0</v>
      </c>
      <c r="F6" s="121">
        <f>C6+E6</f>
        <v>0.2</v>
      </c>
      <c r="G6" s="42"/>
      <c r="H6" s="42"/>
      <c r="I6" s="43">
        <v>50.01</v>
      </c>
      <c r="J6" s="43">
        <v>100</v>
      </c>
      <c r="K6" s="120">
        <v>0.2</v>
      </c>
      <c r="L6" s="120">
        <v>0.2</v>
      </c>
      <c r="M6" s="44">
        <v>5</v>
      </c>
      <c r="N6" s="45" t="s">
        <v>14</v>
      </c>
      <c r="O6" s="46"/>
      <c r="P6" s="50">
        <f>IF('Rate Calculator'!B14="",0,'Rate Calculator'!B14)</f>
        <v>0</v>
      </c>
      <c r="Q6" s="51"/>
      <c r="R6" s="27"/>
    </row>
    <row r="7" spans="1:18" ht="13.5" customHeight="1" thickBot="1" x14ac:dyDescent="0.3">
      <c r="A7" s="27"/>
      <c r="B7" s="49" t="s">
        <v>71</v>
      </c>
      <c r="C7" s="121">
        <f>L9</f>
        <v>0.2</v>
      </c>
      <c r="D7" s="120">
        <v>0</v>
      </c>
      <c r="E7" s="42">
        <f>IF(P10="NO",0,Calculations!C8)</f>
        <v>0</v>
      </c>
      <c r="F7" s="121">
        <f>C7+E7</f>
        <v>0.2</v>
      </c>
      <c r="G7" s="42"/>
      <c r="H7" s="42"/>
      <c r="I7" s="43">
        <v>100.01</v>
      </c>
      <c r="J7" s="43">
        <v>179.99</v>
      </c>
      <c r="K7" s="120">
        <v>0.2</v>
      </c>
      <c r="L7" s="120">
        <v>0.2</v>
      </c>
      <c r="M7" s="44">
        <v>6</v>
      </c>
      <c r="N7" s="45" t="s">
        <v>75</v>
      </c>
      <c r="O7" s="46"/>
      <c r="P7" s="47" t="str">
        <f>IF(P4&lt;&gt;B6,"N/A",IF('Rate Calculator'!E17=1,"YES","NO"))</f>
        <v>N/A</v>
      </c>
      <c r="Q7" s="51"/>
      <c r="R7" s="27"/>
    </row>
    <row r="8" spans="1:18" ht="13.5" customHeight="1" thickBot="1" x14ac:dyDescent="0.3">
      <c r="A8" s="27"/>
      <c r="B8" s="49" t="s">
        <v>54</v>
      </c>
      <c r="C8" s="120">
        <v>0.15</v>
      </c>
      <c r="D8" s="52" t="s">
        <v>70</v>
      </c>
      <c r="E8" s="53"/>
      <c r="F8" s="53"/>
      <c r="G8" s="53"/>
      <c r="H8" s="42"/>
      <c r="I8" s="43">
        <v>180</v>
      </c>
      <c r="J8" s="43">
        <v>100000</v>
      </c>
      <c r="K8" s="120">
        <v>0.2</v>
      </c>
      <c r="L8" s="120">
        <v>0.2</v>
      </c>
      <c r="M8" s="27"/>
      <c r="N8" s="45" t="s">
        <v>53</v>
      </c>
      <c r="O8" s="46"/>
      <c r="P8" s="54">
        <f>VLOOKUP(P4,B4:H6,3)</f>
        <v>0</v>
      </c>
      <c r="Q8" s="51"/>
      <c r="R8" s="27"/>
    </row>
    <row r="9" spans="1:18" ht="13.5" customHeight="1" thickBot="1" x14ac:dyDescent="0.3">
      <c r="A9" s="27"/>
      <c r="B9" s="49" t="s">
        <v>72</v>
      </c>
      <c r="C9" s="55">
        <v>0.02</v>
      </c>
      <c r="D9" s="41" t="s">
        <v>7</v>
      </c>
      <c r="E9" s="56"/>
      <c r="F9" s="56"/>
      <c r="G9" s="56"/>
      <c r="H9" s="42"/>
      <c r="I9" s="181" t="s">
        <v>61</v>
      </c>
      <c r="J9" s="182"/>
      <c r="K9" s="57">
        <f>IF($P$6&lt;=J4,K4,IF($P$6&lt;=J5,K5,IF($P$6&lt;=J6,K6,IF($P$6&lt;=J7,K7,K8))))</f>
        <v>0.2</v>
      </c>
      <c r="L9" s="58">
        <f>IF($P$6&lt;=J4,L4,IF($P$6&lt;=J5,L5,IF($P$6&lt;=J6,L6,IF($P$6&lt;=J7,L7,L8))))</f>
        <v>0.2</v>
      </c>
      <c r="M9" s="27"/>
      <c r="N9" s="45" t="s">
        <v>82</v>
      </c>
      <c r="O9" s="46"/>
      <c r="P9" s="54">
        <f>C8</f>
        <v>0.15</v>
      </c>
      <c r="Q9" s="51"/>
      <c r="R9" s="27"/>
    </row>
    <row r="10" spans="1:18" ht="13.5" customHeight="1" x14ac:dyDescent="0.25">
      <c r="A10" s="27"/>
      <c r="B10" s="59"/>
      <c r="C10" s="60"/>
      <c r="D10" s="61"/>
      <c r="E10" s="61"/>
      <c r="F10" s="61"/>
      <c r="G10" s="61"/>
      <c r="H10" s="61"/>
      <c r="I10" s="169" t="s">
        <v>62</v>
      </c>
      <c r="J10" s="170"/>
      <c r="K10" s="170"/>
      <c r="L10" s="171"/>
      <c r="M10" s="27"/>
      <c r="N10" s="59" t="s">
        <v>81</v>
      </c>
      <c r="O10" s="62"/>
      <c r="P10" s="63" t="str">
        <f>IF(P5="Bill Rate","NO",IF('Rate Calculator'!E20=1,"YES","NO"))</f>
        <v>NO</v>
      </c>
      <c r="Q10" s="64"/>
      <c r="R10" s="27"/>
    </row>
    <row r="11" spans="1:18" ht="13.5" customHeight="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65"/>
      <c r="P11" s="28"/>
      <c r="Q11" s="28"/>
      <c r="R11" s="27"/>
    </row>
    <row r="12" spans="1:18" ht="13.5" customHeight="1" x14ac:dyDescent="0.25">
      <c r="A12" s="27"/>
      <c r="B12" s="175" t="s">
        <v>66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7"/>
      <c r="M12" s="27"/>
      <c r="N12" s="159" t="s">
        <v>44</v>
      </c>
      <c r="O12" s="160"/>
      <c r="P12" s="160"/>
      <c r="Q12" s="161"/>
      <c r="R12" s="27"/>
    </row>
    <row r="13" spans="1:18" ht="13.5" customHeight="1" x14ac:dyDescent="0.25">
      <c r="A13" s="27"/>
      <c r="B13" s="66"/>
      <c r="C13" s="32" t="s">
        <v>0</v>
      </c>
      <c r="D13" s="67" t="s">
        <v>38</v>
      </c>
      <c r="E13" s="32" t="s">
        <v>27</v>
      </c>
      <c r="F13" s="32" t="s">
        <v>10</v>
      </c>
      <c r="G13" s="32" t="s">
        <v>68</v>
      </c>
      <c r="H13" s="32" t="s">
        <v>28</v>
      </c>
      <c r="I13" s="32" t="s">
        <v>16</v>
      </c>
      <c r="J13" s="32" t="s">
        <v>17</v>
      </c>
      <c r="K13" s="32" t="s">
        <v>18</v>
      </c>
      <c r="L13" s="68" t="s">
        <v>29</v>
      </c>
      <c r="M13" s="27"/>
      <c r="N13" s="49" t="s">
        <v>19</v>
      </c>
      <c r="O13" s="69" t="s">
        <v>23</v>
      </c>
      <c r="P13" s="69" t="s">
        <v>24</v>
      </c>
      <c r="Q13" s="70" t="s">
        <v>73</v>
      </c>
      <c r="R13" s="27"/>
    </row>
    <row r="14" spans="1:18" ht="13.5" customHeight="1" x14ac:dyDescent="0.25">
      <c r="A14" s="27"/>
      <c r="B14" s="71">
        <v>11</v>
      </c>
      <c r="C14" s="72">
        <f>ROUND($P$6,2)</f>
        <v>0</v>
      </c>
      <c r="D14" s="73"/>
      <c r="E14" s="121">
        <f>$F$4</f>
        <v>0.09</v>
      </c>
      <c r="F14" s="72">
        <f>IF($P$7="YES",ROUND(((C14-(C14*$D$4))/(1+E14))-(D14*$C$9),2),ROUND((C14-(C14*$D$4))/(1+E14),2))</f>
        <v>0</v>
      </c>
      <c r="G14" s="72" t="s">
        <v>6</v>
      </c>
      <c r="H14" s="72">
        <f>ROUND(C14-(C14*$D$4),2)</f>
        <v>0</v>
      </c>
      <c r="I14" s="72">
        <f>C14-F14</f>
        <v>0</v>
      </c>
      <c r="J14" s="47" t="s">
        <v>6</v>
      </c>
      <c r="K14" s="47" t="s">
        <v>6</v>
      </c>
      <c r="L14" s="51" t="s">
        <v>6</v>
      </c>
      <c r="M14" s="27"/>
      <c r="N14" s="74" t="s">
        <v>20</v>
      </c>
      <c r="O14" s="72">
        <f>IFERROR(IF($D$9="Yes",VLOOKUP($Q$3,B25:L30,5,FALSE),VLOOKUP($Q$3,B14:L19,5,FALSE)),0)</f>
        <v>0</v>
      </c>
      <c r="P14" s="72">
        <f>IFERROR(IF(D9="Yes",IF(Q3=51,F31,IF(Q3=52,F32,0)),IF(Q3=51,F20,IF(Q3=52,F21,0))),0)</f>
        <v>0</v>
      </c>
      <c r="Q14" s="75">
        <f>IFERROR(IF($P$7="YES",P14,O14),0)</f>
        <v>0</v>
      </c>
      <c r="R14" s="27"/>
    </row>
    <row r="15" spans="1:18" ht="13.5" customHeight="1" x14ac:dyDescent="0.25">
      <c r="A15" s="27"/>
      <c r="B15" s="71">
        <v>12</v>
      </c>
      <c r="C15" s="72">
        <f>IF($P$7="YES",ROUND(D15/(1-$D$4),2),ROUND((F15+(F15*E15))/(1-$D$4),2))</f>
        <v>0</v>
      </c>
      <c r="D15" s="76"/>
      <c r="E15" s="121">
        <f>$F$4</f>
        <v>0.09</v>
      </c>
      <c r="F15" s="72">
        <f>ROUND($P$6,2)</f>
        <v>0</v>
      </c>
      <c r="G15" s="72" t="s">
        <v>6</v>
      </c>
      <c r="H15" s="72">
        <f>ROUND(C15*(1-$D$4),2)</f>
        <v>0</v>
      </c>
      <c r="I15" s="72">
        <f t="shared" ref="I15:I21" si="0">C15-F15</f>
        <v>0</v>
      </c>
      <c r="J15" s="47" t="s">
        <v>6</v>
      </c>
      <c r="K15" s="47" t="s">
        <v>6</v>
      </c>
      <c r="L15" s="51" t="s">
        <v>6</v>
      </c>
      <c r="M15" s="27"/>
      <c r="N15" s="74" t="s">
        <v>69</v>
      </c>
      <c r="O15" s="72">
        <f>IFERROR(IF($D$9="Yes",VLOOKUP($Q$3,B25:L30,6,FALSE),VLOOKUP($Q$3,B14:L19,6,FALSE)),0)</f>
        <v>0</v>
      </c>
      <c r="P15" s="72">
        <f>IFERROR(IF($D$9="Yes",IF($Q$3=51,G31,IF($Q$3=52,G32,0)),IF($Q$3=51,G20,IF($Q$3=52,G21,0))),0)</f>
        <v>0</v>
      </c>
      <c r="Q15" s="75">
        <f t="shared" ref="Q15:Q20" si="1">IFERROR(IF($P$7="YES",P15,O15),0)</f>
        <v>0</v>
      </c>
      <c r="R15" s="27"/>
    </row>
    <row r="16" spans="1:18" ht="13.5" customHeight="1" x14ac:dyDescent="0.25">
      <c r="A16" s="27"/>
      <c r="B16" s="71">
        <v>31</v>
      </c>
      <c r="C16" s="72">
        <f>ROUND($P$6,2)</f>
        <v>0</v>
      </c>
      <c r="D16" s="76"/>
      <c r="E16" s="121">
        <f>$F$5</f>
        <v>0.05</v>
      </c>
      <c r="F16" s="72">
        <f>IF($P$7="YES",ROUND(((C16-(C16*$D$5))/(1+E16))-(D16*$C$9),2),ROUND((C16-(C16*$D$5))/(1+E16),2))</f>
        <v>0</v>
      </c>
      <c r="G16" s="72" t="s">
        <v>6</v>
      </c>
      <c r="H16" s="72">
        <f>ROUND(C16-(C16*$D$5),2)</f>
        <v>0</v>
      </c>
      <c r="I16" s="72">
        <f t="shared" si="0"/>
        <v>0</v>
      </c>
      <c r="J16" s="47" t="s">
        <v>6</v>
      </c>
      <c r="K16" s="47" t="s">
        <v>6</v>
      </c>
      <c r="L16" s="51" t="s">
        <v>6</v>
      </c>
      <c r="M16" s="27"/>
      <c r="N16" s="74" t="s">
        <v>21</v>
      </c>
      <c r="O16" s="72">
        <f>IFERROR(IF($D$9="Yes",VLOOKUP($Q$3,B25:L30,2,FALSE),VLOOKUP($Q$3,B14:L19,2,FALSE)),0)</f>
        <v>0</v>
      </c>
      <c r="P16" s="72">
        <f>IFERROR(IF($D$9="Yes",IF($Q$3=51,C31,IF($Q$3=52,C32,0)),IF($Q$3=51,C20,IF($Q$3=52,C21,0))),0)</f>
        <v>0</v>
      </c>
      <c r="Q16" s="75">
        <f t="shared" si="1"/>
        <v>0</v>
      </c>
      <c r="R16" s="27"/>
    </row>
    <row r="17" spans="1:19" ht="13.5" customHeight="1" x14ac:dyDescent="0.25">
      <c r="A17" s="27"/>
      <c r="B17" s="71">
        <v>32</v>
      </c>
      <c r="C17" s="72">
        <f>IF($P$7="YES",ROUND(D17/(1-$D$5),2),ROUND((F17+(F17*E17))/(1-$D$5),2))</f>
        <v>0</v>
      </c>
      <c r="D17" s="76"/>
      <c r="E17" s="121">
        <f>$F$5</f>
        <v>0.05</v>
      </c>
      <c r="F17" s="72">
        <f>ROUND($P$6,2)</f>
        <v>0</v>
      </c>
      <c r="G17" s="72" t="s">
        <v>6</v>
      </c>
      <c r="H17" s="72">
        <f>ROUND(C17*(1-$D$5),2)</f>
        <v>0</v>
      </c>
      <c r="I17" s="72">
        <f t="shared" si="0"/>
        <v>0</v>
      </c>
      <c r="J17" s="47" t="s">
        <v>6</v>
      </c>
      <c r="K17" s="47" t="s">
        <v>6</v>
      </c>
      <c r="L17" s="51" t="s">
        <v>6</v>
      </c>
      <c r="M17" s="27"/>
      <c r="N17" s="74" t="s">
        <v>22</v>
      </c>
      <c r="O17" s="72">
        <f>IFERROR(IF($D$9="Yes",VLOOKUP($Q$3,B25:L30,7,FALSE),VLOOKUP($Q$3,B14:L19,7,FALSE)),0)</f>
        <v>0</v>
      </c>
      <c r="P17" s="72">
        <f>IFERROR(IF($D$9="Yes",IF($Q$3=51,H31,IF($Q$3=52,H32,0)),IF($Q$3=51,H20,IF($Q$3=52,H21,0))),0)</f>
        <v>0</v>
      </c>
      <c r="Q17" s="75">
        <f t="shared" si="1"/>
        <v>0</v>
      </c>
      <c r="R17" s="27"/>
    </row>
    <row r="18" spans="1:19" ht="13.5" customHeight="1" x14ac:dyDescent="0.25">
      <c r="A18" s="27"/>
      <c r="B18" s="71">
        <v>51</v>
      </c>
      <c r="C18" s="72">
        <f>ROUND($P$6,2)</f>
        <v>0</v>
      </c>
      <c r="D18" s="76"/>
      <c r="E18" s="121">
        <f>$F$6</f>
        <v>0.2</v>
      </c>
      <c r="F18" s="72">
        <f>ROUND((C18/(1+E18)),2)</f>
        <v>0</v>
      </c>
      <c r="G18" s="72" t="s">
        <v>6</v>
      </c>
      <c r="H18" s="72">
        <f>ROUND(C18-(C18*$D$6),2)</f>
        <v>0</v>
      </c>
      <c r="I18" s="72">
        <f t="shared" si="0"/>
        <v>0</v>
      </c>
      <c r="J18" s="72">
        <f>F18*1.5</f>
        <v>0</v>
      </c>
      <c r="K18" s="72">
        <f>C18*1.5</f>
        <v>0</v>
      </c>
      <c r="L18" s="77">
        <f>H18*1.5</f>
        <v>0</v>
      </c>
      <c r="M18" s="27"/>
      <c r="N18" s="74" t="s">
        <v>65</v>
      </c>
      <c r="O18" s="72">
        <f>IFERROR(IF($D$9="Yes",VLOOKUP($Q$3,B25:L30,8,FALSE),VLOOKUP($Q$3,B14:L19,8,FALSE)),0)</f>
        <v>0</v>
      </c>
      <c r="P18" s="72">
        <f>IFERROR(IF($D$9="Yes",IF($Q$3=51,I31,IF($Q$3=52,I32,0)),IF($Q$3=51,I20,IF($Q$3=52,I21,0))),0)</f>
        <v>0</v>
      </c>
      <c r="Q18" s="75">
        <f t="shared" si="1"/>
        <v>0</v>
      </c>
      <c r="R18" s="27"/>
    </row>
    <row r="19" spans="1:19" ht="13.5" customHeight="1" x14ac:dyDescent="0.25">
      <c r="A19" s="27"/>
      <c r="B19" s="71">
        <v>52</v>
      </c>
      <c r="C19" s="72">
        <f>ROUND((F19+(F19*E19)),2)</f>
        <v>0</v>
      </c>
      <c r="D19" s="76"/>
      <c r="E19" s="121">
        <f>$F$6</f>
        <v>0.2</v>
      </c>
      <c r="F19" s="72">
        <f>ROUND($P$6,2)</f>
        <v>0</v>
      </c>
      <c r="G19" s="72" t="s">
        <v>6</v>
      </c>
      <c r="H19" s="72">
        <f>ROUND(C19*(1-$D$6),2)</f>
        <v>0</v>
      </c>
      <c r="I19" s="72">
        <f t="shared" si="0"/>
        <v>0</v>
      </c>
      <c r="J19" s="72">
        <f>F19*1.5</f>
        <v>0</v>
      </c>
      <c r="K19" s="72">
        <f>C19*1.5</f>
        <v>0</v>
      </c>
      <c r="L19" s="77">
        <f>H19*1.5</f>
        <v>0</v>
      </c>
      <c r="M19" s="27"/>
      <c r="N19" s="78" t="s">
        <v>25</v>
      </c>
      <c r="O19" s="72">
        <f>IFERROR(IF($P$4=$B$6,IF($D$9="Yes",VLOOKUP($Q$3,B25:L30,10,FALSE),VLOOKUP($Q$3,B14:L19,10,FALSE)),0),0)</f>
        <v>0</v>
      </c>
      <c r="P19" s="72">
        <f>IFERROR(IF($D$9="Yes",IF($Q$3=51,K31,IF($Q$3=52,K32,0)),IF($Q$3=51,K20,IF($Q$3=52,K21,0))),0)</f>
        <v>0</v>
      </c>
      <c r="Q19" s="75">
        <f t="shared" si="1"/>
        <v>0</v>
      </c>
      <c r="R19" s="27"/>
    </row>
    <row r="20" spans="1:19" ht="13.5" customHeight="1" x14ac:dyDescent="0.25">
      <c r="A20" s="27"/>
      <c r="B20" s="71">
        <v>53</v>
      </c>
      <c r="C20" s="72">
        <f>ROUND($P$6,2)</f>
        <v>0</v>
      </c>
      <c r="D20" s="76"/>
      <c r="E20" s="121">
        <f>$F$7</f>
        <v>0.2</v>
      </c>
      <c r="F20" s="72">
        <f>ROUND((C20/(1+E20)),2)</f>
        <v>0</v>
      </c>
      <c r="G20" s="72" t="s">
        <v>6</v>
      </c>
      <c r="H20" s="72">
        <f>ROUND(C20-(C20*$D$7),2)</f>
        <v>0</v>
      </c>
      <c r="I20" s="72">
        <f t="shared" si="0"/>
        <v>0</v>
      </c>
      <c r="J20" s="72">
        <f>F20*1.5</f>
        <v>0</v>
      </c>
      <c r="K20" s="72">
        <f>C20*1.5</f>
        <v>0</v>
      </c>
      <c r="L20" s="77">
        <f>H20*1.5</f>
        <v>0</v>
      </c>
      <c r="M20" s="27"/>
      <c r="N20" s="79" t="s">
        <v>26</v>
      </c>
      <c r="O20" s="80">
        <f>IFERROR(IF($P$4=$B$6,IF($D$9="Yes",VLOOKUP($Q$3,B25:L30,11,FALSE),VLOOKUP($Q$3,B14:L19,11,FALSE)),0),0)</f>
        <v>0</v>
      </c>
      <c r="P20" s="80">
        <f>IFERROR(IF($D$9="Yes",IF($Q$3=51,L31,IF($Q$3=52,L32,0)),IF($Q$3=51,L20,IF($Q$3=52,L21,0))),0)</f>
        <v>0</v>
      </c>
      <c r="Q20" s="81">
        <f t="shared" si="1"/>
        <v>0</v>
      </c>
      <c r="R20" s="27"/>
    </row>
    <row r="21" spans="1:19" ht="13.5" customHeight="1" x14ac:dyDescent="0.25">
      <c r="A21" s="27"/>
      <c r="B21" s="82">
        <v>54</v>
      </c>
      <c r="C21" s="80">
        <f>ROUND((F21+(F21*E21)),2)</f>
        <v>0</v>
      </c>
      <c r="D21" s="83"/>
      <c r="E21" s="122">
        <f>$F$7</f>
        <v>0.2</v>
      </c>
      <c r="F21" s="80">
        <f>ROUND($P$6,2)</f>
        <v>0</v>
      </c>
      <c r="G21" s="80" t="s">
        <v>6</v>
      </c>
      <c r="H21" s="80">
        <f>ROUND(C21*(1-$D$7),2)</f>
        <v>0</v>
      </c>
      <c r="I21" s="80">
        <f t="shared" si="0"/>
        <v>0</v>
      </c>
      <c r="J21" s="80">
        <f>F21*1.5</f>
        <v>0</v>
      </c>
      <c r="K21" s="80">
        <f>C21*1.5</f>
        <v>0</v>
      </c>
      <c r="L21" s="84">
        <f>H21*1.5</f>
        <v>0</v>
      </c>
      <c r="M21" s="27"/>
      <c r="N21" s="28"/>
      <c r="O21" s="28"/>
      <c r="P21" s="27"/>
      <c r="Q21" s="27"/>
      <c r="R21" s="27"/>
      <c r="S21" s="183"/>
    </row>
    <row r="22" spans="1:19" ht="13.5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164" t="s">
        <v>45</v>
      </c>
      <c r="O22" s="165"/>
      <c r="P22" s="165"/>
      <c r="Q22" s="165"/>
      <c r="R22" s="27"/>
    </row>
    <row r="23" spans="1:19" ht="13.5" customHeight="1" x14ac:dyDescent="0.25">
      <c r="A23" s="27"/>
      <c r="B23" s="156" t="s">
        <v>67</v>
      </c>
      <c r="C23" s="157"/>
      <c r="D23" s="157"/>
      <c r="E23" s="157"/>
      <c r="F23" s="157"/>
      <c r="G23" s="157"/>
      <c r="H23" s="157"/>
      <c r="I23" s="157"/>
      <c r="J23" s="157"/>
      <c r="K23" s="157"/>
      <c r="L23" s="158"/>
      <c r="M23" s="27"/>
      <c r="N23" s="37"/>
      <c r="O23" s="38"/>
      <c r="P23" s="32" t="s">
        <v>34</v>
      </c>
      <c r="Q23" s="68" t="s">
        <v>35</v>
      </c>
      <c r="R23" s="27"/>
    </row>
    <row r="24" spans="1:19" ht="13.5" customHeight="1" x14ac:dyDescent="0.25">
      <c r="A24" s="27"/>
      <c r="B24" s="66"/>
      <c r="C24" s="32" t="s">
        <v>0</v>
      </c>
      <c r="D24" s="67" t="s">
        <v>38</v>
      </c>
      <c r="E24" s="32" t="s">
        <v>27</v>
      </c>
      <c r="F24" s="32" t="s">
        <v>10</v>
      </c>
      <c r="G24" s="32" t="s">
        <v>68</v>
      </c>
      <c r="H24" s="32" t="s">
        <v>28</v>
      </c>
      <c r="I24" s="32" t="s">
        <v>16</v>
      </c>
      <c r="J24" s="32" t="s">
        <v>17</v>
      </c>
      <c r="K24" s="32" t="s">
        <v>18</v>
      </c>
      <c r="L24" s="68" t="s">
        <v>29</v>
      </c>
      <c r="M24" s="27"/>
      <c r="N24" s="74" t="s">
        <v>83</v>
      </c>
      <c r="O24" s="85"/>
      <c r="P24" s="86" t="str">
        <f>IFERROR(VLOOKUP($P$4,B4:H7,5,FALSE),"N/A")</f>
        <v>N/A</v>
      </c>
      <c r="Q24" s="129" t="str">
        <f>IFERROR((O14*C8)/O16,"N/A")</f>
        <v>N/A</v>
      </c>
      <c r="R24" s="27"/>
    </row>
    <row r="25" spans="1:19" ht="13.5" customHeight="1" x14ac:dyDescent="0.25">
      <c r="A25" s="27"/>
      <c r="B25" s="71">
        <v>11</v>
      </c>
      <c r="C25" s="87">
        <f>$P$6</f>
        <v>0</v>
      </c>
      <c r="D25" s="88"/>
      <c r="E25" s="123">
        <f>$F$4</f>
        <v>0.09</v>
      </c>
      <c r="F25" s="87">
        <f>IF($P$7="YES",(D25/(1+E25))-(D25*$C$9),C25/(1+E25))</f>
        <v>0</v>
      </c>
      <c r="G25" s="87">
        <f>F25-(C25*$D$4)</f>
        <v>0</v>
      </c>
      <c r="H25" s="87">
        <f>C25-(C25*$D$4)</f>
        <v>0</v>
      </c>
      <c r="I25" s="87">
        <f>C25-F25</f>
        <v>0</v>
      </c>
      <c r="J25" s="89" t="s">
        <v>6</v>
      </c>
      <c r="K25" s="89" t="s">
        <v>6</v>
      </c>
      <c r="L25" s="90" t="s">
        <v>6</v>
      </c>
      <c r="M25" s="27"/>
      <c r="N25" s="91" t="s">
        <v>40</v>
      </c>
      <c r="O25" s="92"/>
      <c r="P25" s="93"/>
      <c r="Q25" s="94" t="str">
        <f>IF($P$4=$B$4,P33,IF($P$4=$B$5,Q33,"N/A"))</f>
        <v>N/A</v>
      </c>
      <c r="R25" s="27"/>
    </row>
    <row r="26" spans="1:19" ht="13.5" customHeight="1" x14ac:dyDescent="0.25">
      <c r="A26" s="27"/>
      <c r="B26" s="71">
        <v>12</v>
      </c>
      <c r="C26" s="87">
        <f>IF($P$7="YES",D26/(1-$D$4),(F26+(F26*E26)))</f>
        <v>0</v>
      </c>
      <c r="D26" s="95"/>
      <c r="E26" s="123">
        <f>$F$4</f>
        <v>0.09</v>
      </c>
      <c r="F26" s="87">
        <f>$P$6</f>
        <v>0</v>
      </c>
      <c r="G26" s="87">
        <f>F26-(C26*$D$4)</f>
        <v>0</v>
      </c>
      <c r="H26" s="87">
        <f>C26*(1-$D$4)</f>
        <v>0</v>
      </c>
      <c r="I26" s="87">
        <f t="shared" ref="I26:I32" si="2">C26-F26</f>
        <v>0</v>
      </c>
      <c r="J26" s="89" t="s">
        <v>6</v>
      </c>
      <c r="K26" s="89" t="s">
        <v>6</v>
      </c>
      <c r="L26" s="90" t="s">
        <v>6</v>
      </c>
      <c r="M26" s="27"/>
      <c r="N26" s="96" t="s">
        <v>39</v>
      </c>
      <c r="O26" s="97"/>
      <c r="P26" s="98" t="str">
        <f>IFERROR(IF($P$4=$B$4,$C$4,IF($P$4=$B$5,$C$5,IF($P$4=$B$6,$C$6,"N/A"))),"N/A")</f>
        <v>N/A</v>
      </c>
      <c r="Q26" s="99" t="str">
        <f>IFERROR(1-1/(1+P26),"N/A")</f>
        <v>N/A</v>
      </c>
      <c r="R26" s="27"/>
    </row>
    <row r="27" spans="1:19" ht="13.5" customHeight="1" x14ac:dyDescent="0.25">
      <c r="A27" s="27"/>
      <c r="B27" s="71">
        <v>31</v>
      </c>
      <c r="C27" s="87">
        <f>$P$6</f>
        <v>0</v>
      </c>
      <c r="D27" s="95"/>
      <c r="E27" s="123">
        <f>$F$5</f>
        <v>0.05</v>
      </c>
      <c r="F27" s="87">
        <f>IF($P$7="YES",(D27/(1+E27))-(D27*$C$9),C27/(1+E27))</f>
        <v>0</v>
      </c>
      <c r="G27" s="87">
        <f>F27-(C27*$D$5)</f>
        <v>0</v>
      </c>
      <c r="H27" s="87">
        <f>C27-(C27*$D$5)</f>
        <v>0</v>
      </c>
      <c r="I27" s="87">
        <f t="shared" si="2"/>
        <v>0</v>
      </c>
      <c r="J27" s="89" t="s">
        <v>6</v>
      </c>
      <c r="K27" s="89" t="s">
        <v>6</v>
      </c>
      <c r="L27" s="90" t="s">
        <v>6</v>
      </c>
      <c r="M27" s="27"/>
      <c r="N27" s="28"/>
      <c r="O27" s="28"/>
      <c r="P27" s="27"/>
      <c r="Q27" s="27"/>
      <c r="R27" s="27"/>
    </row>
    <row r="28" spans="1:19" ht="13.5" customHeight="1" x14ac:dyDescent="0.25">
      <c r="A28" s="27"/>
      <c r="B28" s="71">
        <v>32</v>
      </c>
      <c r="C28" s="87">
        <f>IF($P$8="YES",D28/(1-$D$5),(F28+(F28*E28)))</f>
        <v>0</v>
      </c>
      <c r="D28" s="95"/>
      <c r="E28" s="123">
        <f>$F$5</f>
        <v>0.05</v>
      </c>
      <c r="F28" s="87">
        <f>$P$6</f>
        <v>0</v>
      </c>
      <c r="G28" s="87">
        <f>F28-(C28*$D$5)</f>
        <v>0</v>
      </c>
      <c r="H28" s="87">
        <f>C28*(1-$D$5)</f>
        <v>0</v>
      </c>
      <c r="I28" s="87">
        <f t="shared" si="2"/>
        <v>0</v>
      </c>
      <c r="J28" s="89" t="s">
        <v>6</v>
      </c>
      <c r="K28" s="89" t="s">
        <v>6</v>
      </c>
      <c r="L28" s="90" t="s">
        <v>6</v>
      </c>
      <c r="M28" s="27"/>
      <c r="N28" s="166" t="s">
        <v>46</v>
      </c>
      <c r="O28" s="167"/>
      <c r="P28" s="167"/>
      <c r="Q28" s="168"/>
      <c r="R28" s="27"/>
    </row>
    <row r="29" spans="1:19" ht="13.5" customHeight="1" x14ac:dyDescent="0.25">
      <c r="A29" s="27"/>
      <c r="B29" s="71">
        <v>51</v>
      </c>
      <c r="C29" s="87">
        <f>$P$6</f>
        <v>0</v>
      </c>
      <c r="D29" s="95"/>
      <c r="E29" s="123">
        <f>$F$6</f>
        <v>0.2</v>
      </c>
      <c r="F29" s="87">
        <f>(C29/(1+$C$6))</f>
        <v>0</v>
      </c>
      <c r="G29" s="87" t="s">
        <v>6</v>
      </c>
      <c r="H29" s="87">
        <f>C29-(C29*$D$6)</f>
        <v>0</v>
      </c>
      <c r="I29" s="87">
        <f t="shared" si="2"/>
        <v>0</v>
      </c>
      <c r="J29" s="87">
        <f>F29*1.5</f>
        <v>0</v>
      </c>
      <c r="K29" s="87">
        <f>C29*1.5</f>
        <v>0</v>
      </c>
      <c r="L29" s="100">
        <f>H29*1.5</f>
        <v>0</v>
      </c>
      <c r="M29" s="27"/>
      <c r="N29" s="101"/>
      <c r="O29" s="102"/>
      <c r="P29" s="103" t="s">
        <v>5</v>
      </c>
      <c r="Q29" s="104" t="s">
        <v>42</v>
      </c>
      <c r="R29" s="27"/>
    </row>
    <row r="30" spans="1:19" ht="13.5" customHeight="1" x14ac:dyDescent="0.25">
      <c r="A30" s="27"/>
      <c r="B30" s="71">
        <v>52</v>
      </c>
      <c r="C30" s="87">
        <f>(F30+(F30*E30))</f>
        <v>0</v>
      </c>
      <c r="D30" s="95"/>
      <c r="E30" s="123">
        <f>$F$6</f>
        <v>0.2</v>
      </c>
      <c r="F30" s="87">
        <f>$P$6</f>
        <v>0</v>
      </c>
      <c r="G30" s="87" t="s">
        <v>6</v>
      </c>
      <c r="H30" s="87">
        <f>C30*(1-$D$6)</f>
        <v>0</v>
      </c>
      <c r="I30" s="87">
        <f t="shared" si="2"/>
        <v>0</v>
      </c>
      <c r="J30" s="87">
        <f>F30*1.5</f>
        <v>0</v>
      </c>
      <c r="K30" s="87">
        <f>C30*1.5</f>
        <v>0</v>
      </c>
      <c r="L30" s="100">
        <f>H30*1.5</f>
        <v>0</v>
      </c>
      <c r="M30" s="27"/>
      <c r="N30" s="105" t="s">
        <v>47</v>
      </c>
      <c r="O30" s="106"/>
      <c r="P30" s="107">
        <f>F15*(1+E15)</f>
        <v>0</v>
      </c>
      <c r="Q30" s="108">
        <f>F17*(1+E17)</f>
        <v>0</v>
      </c>
      <c r="R30" s="27"/>
    </row>
    <row r="31" spans="1:19" ht="13.5" customHeight="1" x14ac:dyDescent="0.25">
      <c r="A31" s="27"/>
      <c r="B31" s="71">
        <v>53</v>
      </c>
      <c r="C31" s="87">
        <f>$P$6</f>
        <v>0</v>
      </c>
      <c r="D31" s="95"/>
      <c r="E31" s="123">
        <f>$F$7</f>
        <v>0.2</v>
      </c>
      <c r="F31" s="87">
        <f>(C29/(1+$C$7))</f>
        <v>0</v>
      </c>
      <c r="G31" s="87" t="s">
        <v>6</v>
      </c>
      <c r="H31" s="87">
        <f>C31-(C31*$D$7)</f>
        <v>0</v>
      </c>
      <c r="I31" s="87">
        <f t="shared" si="2"/>
        <v>0</v>
      </c>
      <c r="J31" s="87">
        <f>F31*1.5</f>
        <v>0</v>
      </c>
      <c r="K31" s="87">
        <f>C31*1.5</f>
        <v>0</v>
      </c>
      <c r="L31" s="100">
        <f>H31*1.5</f>
        <v>0</v>
      </c>
      <c r="M31" s="27"/>
      <c r="N31" s="105" t="s">
        <v>48</v>
      </c>
      <c r="O31" s="106"/>
      <c r="P31" s="107">
        <f>F15/(1-$C$9)</f>
        <v>0</v>
      </c>
      <c r="Q31" s="108">
        <f>F17/(1-$C$9)</f>
        <v>0</v>
      </c>
      <c r="R31" s="27"/>
    </row>
    <row r="32" spans="1:19" ht="13.5" customHeight="1" x14ac:dyDescent="0.25">
      <c r="A32" s="27"/>
      <c r="B32" s="82">
        <v>54</v>
      </c>
      <c r="C32" s="109">
        <f>(F32+(F32*E32))</f>
        <v>0</v>
      </c>
      <c r="D32" s="110"/>
      <c r="E32" s="124">
        <f>$F$7</f>
        <v>0.2</v>
      </c>
      <c r="F32" s="109">
        <f>$P$6</f>
        <v>0</v>
      </c>
      <c r="G32" s="109" t="s">
        <v>6</v>
      </c>
      <c r="H32" s="109">
        <f>C32*(1-$D$7)</f>
        <v>0</v>
      </c>
      <c r="I32" s="109">
        <f t="shared" si="2"/>
        <v>0</v>
      </c>
      <c r="J32" s="109">
        <f>F32*1.5</f>
        <v>0</v>
      </c>
      <c r="K32" s="109">
        <f>C32*1.5</f>
        <v>0</v>
      </c>
      <c r="L32" s="111">
        <f>H32*1.5</f>
        <v>0</v>
      </c>
      <c r="M32" s="27"/>
      <c r="N32" s="105" t="s">
        <v>49</v>
      </c>
      <c r="O32" s="106"/>
      <c r="P32" s="107">
        <f>F15+(P30-F15)+(P31-F15)</f>
        <v>0</v>
      </c>
      <c r="Q32" s="108">
        <f>F17+(Q30-F17)+(Q31-F17)</f>
        <v>0</v>
      </c>
      <c r="R32" s="27"/>
    </row>
    <row r="33" spans="1:18" ht="13.5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105" t="s">
        <v>50</v>
      </c>
      <c r="O33" s="106"/>
      <c r="P33" s="112" t="str">
        <f>IFERROR((P30-F15)/P32,"N/A")</f>
        <v>N/A</v>
      </c>
      <c r="Q33" s="113" t="str">
        <f>IFERROR((Q30-F17)/Q32,"N/A")</f>
        <v>N/A</v>
      </c>
      <c r="R33" s="27"/>
    </row>
    <row r="34" spans="1:18" ht="13.5" customHeight="1" x14ac:dyDescent="0.25">
      <c r="A34" s="27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27"/>
      <c r="M34" s="27"/>
      <c r="N34" s="115" t="s">
        <v>51</v>
      </c>
      <c r="O34" s="116"/>
      <c r="P34" s="117" t="str">
        <f>IFERROR(P32-(P32*P33),"N/A")</f>
        <v>N/A</v>
      </c>
      <c r="Q34" s="118" t="str">
        <f>IFERROR(Q32-(Q32*Q33),"N/A")</f>
        <v>N/A</v>
      </c>
      <c r="R34" s="27"/>
    </row>
    <row r="35" spans="1:18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28"/>
      <c r="O35" s="28"/>
      <c r="P35" s="27"/>
      <c r="Q35" s="27"/>
      <c r="R35" s="114"/>
    </row>
  </sheetData>
  <mergeCells count="10">
    <mergeCell ref="B23:L23"/>
    <mergeCell ref="N12:Q12"/>
    <mergeCell ref="N2:Q2"/>
    <mergeCell ref="N22:Q22"/>
    <mergeCell ref="N28:Q28"/>
    <mergeCell ref="I10:L10"/>
    <mergeCell ref="B2:H2"/>
    <mergeCell ref="B12:L12"/>
    <mergeCell ref="I2:L2"/>
    <mergeCell ref="I9:J9"/>
  </mergeCells>
  <dataValidations disablePrompts="1" count="1">
    <dataValidation type="list" allowBlank="1" showInputMessage="1" showErrorMessage="1" sqref="D9" xr:uid="{155FB476-4DAE-4C9A-8BC3-2CC16CDB1EBC}">
      <formula1>YesNo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EB14-1AE0-45CF-8565-8C9D71294A43}">
  <sheetPr codeName="Sheet3"/>
  <dimension ref="C3:D18"/>
  <sheetViews>
    <sheetView workbookViewId="0">
      <selection activeCell="D2" sqref="D2"/>
    </sheetView>
  </sheetViews>
  <sheetFormatPr defaultRowHeight="15" x14ac:dyDescent="0.25"/>
  <cols>
    <col min="3" max="3" width="20.42578125" customWidth="1"/>
    <col min="4" max="4" width="12.28515625" customWidth="1"/>
  </cols>
  <sheetData>
    <row r="3" spans="3:4" x14ac:dyDescent="0.25">
      <c r="C3" t="s">
        <v>84</v>
      </c>
      <c r="D3" s="130">
        <f ca="1">TODAY()</f>
        <v>44391</v>
      </c>
    </row>
    <row r="4" spans="3:4" x14ac:dyDescent="0.25">
      <c r="C4" t="s">
        <v>85</v>
      </c>
      <c r="D4">
        <f ca="1">YEAR(D3)</f>
        <v>2021</v>
      </c>
    </row>
    <row r="7" spans="3:4" x14ac:dyDescent="0.25">
      <c r="C7" t="s">
        <v>5</v>
      </c>
    </row>
    <row r="8" spans="3:4" x14ac:dyDescent="0.25">
      <c r="C8" t="s">
        <v>8</v>
      </c>
    </row>
    <row r="9" spans="3:4" x14ac:dyDescent="0.25">
      <c r="C9" t="s">
        <v>9</v>
      </c>
    </row>
    <row r="13" spans="3:4" x14ac:dyDescent="0.25">
      <c r="C13" t="s">
        <v>0</v>
      </c>
    </row>
    <row r="14" spans="3:4" x14ac:dyDescent="0.25">
      <c r="C14" t="s">
        <v>10</v>
      </c>
    </row>
    <row r="17" spans="3:3" x14ac:dyDescent="0.25">
      <c r="C17" t="s">
        <v>15</v>
      </c>
    </row>
    <row r="18" spans="3:3" x14ac:dyDescent="0.25">
      <c r="C18" t="s">
        <v>7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Document" dvAspect="DVASPECT_ICON" shapeId="5121" r:id="rId3">
          <object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1</xdr:col>
                <xdr:colOff>304800</xdr:colOff>
                <xdr:row>9</xdr:row>
                <xdr:rowOff>114300</xdr:rowOff>
              </to>
            </anchor>
          </objectPr>
        </oleObject>
      </mc:Choice>
      <mc:Fallback>
        <oleObject progId="Document" dvAspect="DVASPECT_ICON" shapeId="5121" r:id="rId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B9197927332E4CA343168D3E077BA2" ma:contentTypeVersion="4" ma:contentTypeDescription="Create a new document." ma:contentTypeScope="" ma:versionID="539d6afd46f8d89becb4443132b3f9fe">
  <xsd:schema xmlns:xsd="http://www.w3.org/2001/XMLSchema" xmlns:xs="http://www.w3.org/2001/XMLSchema" xmlns:p="http://schemas.microsoft.com/office/2006/metadata/properties" xmlns:ns2="ed3e208c-0a04-431d-9e61-2e48c7603889" targetNamespace="http://schemas.microsoft.com/office/2006/metadata/properties" ma:root="true" ma:fieldsID="04baad333519606d5bc08946be6a6c73" ns2:_="">
    <xsd:import namespace="ed3e208c-0a04-431d-9e61-2e48c76038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3e208c-0a04-431d-9e61-2e48c76038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19FDB3-6276-4EE5-852F-109C8CA63B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B07C92-2C3E-48B4-8D4F-C7EF61D00481}"/>
</file>

<file path=customXml/itemProps3.xml><?xml version="1.0" encoding="utf-8"?>
<ds:datastoreItem xmlns:ds="http://schemas.openxmlformats.org/officeDocument/2006/customXml" ds:itemID="{18F084F0-66D7-4683-BC37-041140D07F60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d3e208c-0a04-431d-9e61-2e48c76038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Rate Calculator</vt:lpstr>
      <vt:lpstr>Calculations</vt:lpstr>
      <vt:lpstr>Lists</vt:lpstr>
      <vt:lpstr>Rates</vt:lpstr>
      <vt:lpstr>Services</vt:lpstr>
      <vt:lpstr>Services2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Matt Bender</dc:creator>
  <cp:lastModifiedBy>Matt Bender</cp:lastModifiedBy>
  <cp:lastPrinted>2019-01-28T15:11:50Z</cp:lastPrinted>
  <dcterms:created xsi:type="dcterms:W3CDTF">2019-01-25T19:54:05Z</dcterms:created>
  <dcterms:modified xsi:type="dcterms:W3CDTF">2021-07-14T14:54:23Z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0x010100FEB9197927332E4CA343168D3E077BA2</vt:lpwstr>
  </property>
  <property fmtid="{D5CDD505-2E9C-101B-9397-08002B2CF9AE}" pid="3" name="Document_x0020_Audience">
    <vt:lpwstr/>
  </property>
  <property fmtid="{D5CDD505-2E9C-101B-9397-08002B2CF9AE}" pid="4" name="Document_x0020_Visibility">
    <vt:lpwstr/>
  </property>
  <property fmtid="{D5CDD505-2E9C-101B-9397-08002B2CF9AE}" pid="5" name="Client_x0020_Industry">
    <vt:lpwstr/>
  </property>
  <property fmtid="{D5CDD505-2E9C-101B-9397-08002B2CF9AE}" pid="6" name="Document_x0020_Category">
    <vt:lpwstr/>
  </property>
  <property fmtid="{D5CDD505-2E9C-101B-9397-08002B2CF9AE}" pid="7" name="Document_x0020_Publishing">
    <vt:lpwstr/>
  </property>
  <property fmtid="{D5CDD505-2E9C-101B-9397-08002B2CF9AE}" pid="8" name="Client_x0020_Name_x0028_s_x0029_">
    <vt:lpwstr/>
  </property>
  <property fmtid="{D5CDD505-2E9C-101B-9397-08002B2CF9AE}" pid="9" name="Document Publishing">
    <vt:lpwstr/>
  </property>
  <property fmtid="{D5CDD505-2E9C-101B-9397-08002B2CF9AE}" pid="10" name="Document Audience">
    <vt:lpwstr/>
  </property>
  <property fmtid="{D5CDD505-2E9C-101B-9397-08002B2CF9AE}" pid="11" name="Document Category">
    <vt:lpwstr/>
  </property>
  <property fmtid="{D5CDD505-2E9C-101B-9397-08002B2CF9AE}" pid="12" name="Client Industry">
    <vt:lpwstr/>
  </property>
  <property fmtid="{D5CDD505-2E9C-101B-9397-08002B2CF9AE}" pid="13" name="Client Name(s)">
    <vt:lpwstr/>
  </property>
  <property fmtid="{D5CDD505-2E9C-101B-9397-08002B2CF9AE}" pid="14" name="Document Visibility">
    <vt:lpwstr/>
  </property>
  <property fmtid="{D5CDD505-2E9C-101B-9397-08002B2CF9AE}" pid="15" name="Order">
    <vt:r8>10600</vt:r8>
  </property>
  <property fmtid="{D5CDD505-2E9C-101B-9397-08002B2CF9AE}" pid="16" name="xd_Signature">
    <vt:bool>false</vt:bool>
  </property>
  <property fmtid="{D5CDD505-2E9C-101B-9397-08002B2CF9AE}" pid="17" name="xd_ProgID">
    <vt:lpwstr/>
  </property>
  <property fmtid="{D5CDD505-2E9C-101B-9397-08002B2CF9AE}" pid="18" name="_ExtendedDescription">
    <vt:lpwstr/>
  </property>
  <property fmtid="{D5CDD505-2E9C-101B-9397-08002B2CF9AE}" pid="19" name="ComplianceAssetId">
    <vt:lpwstr/>
  </property>
  <property fmtid="{D5CDD505-2E9C-101B-9397-08002B2CF9AE}" pid="20" name="TemplateUrl">
    <vt:lpwstr/>
  </property>
</Properties>
</file>